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mith-Bozek\Waybill Costing Projects\RSAM Decision\"/>
    </mc:Choice>
  </mc:AlternateContent>
  <xr:revisionPtr revIDLastSave="0" documentId="8_{A48B44FE-D1FE-44B3-BC6B-5E96088F65D1}" xr6:coauthVersionLast="45" xr6:coauthVersionMax="45" xr10:uidLastSave="{00000000-0000-0000-0000-000000000000}"/>
  <bookViews>
    <workbookView xWindow="-110" yWindow="-110" windowWidth="19420" windowHeight="10420" tabRatio="720" activeTab="1" xr2:uid="{00000000-000D-0000-FFFF-FFFF00000000}"/>
  </bookViews>
  <sheets>
    <sheet name="Inputs from Decisions" sheetId="8" r:id="rId1"/>
    <sheet name="RSAM_2018_Class_I_Costs_and_Rev" sheetId="1" r:id="rId2"/>
    <sheet name="2018 R-1 Schedule 250 Part A" sheetId="7" r:id="rId3"/>
    <sheet name="2018 Tax Rates" sheetId="6" r:id="rId4"/>
    <sheet name="2018 Shortfall (Surplus)" sheetId="2" r:id="rId5"/>
    <sheet name="RSAM 2018" sheetId="3" r:id="rId6"/>
  </sheets>
  <definedNames>
    <definedName name="_xlnm.Print_Area" localSheetId="2">'2018 R-1 Schedule 250 Part A'!$A$1:$J$33</definedName>
    <definedName name="RSAM_2005_Costs_and_Revenues_for_Class_I_RRs">RSAM_2018_Class_I_Costs_and_Rev!$A$4:$J$11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7" l="1"/>
  <c r="J14" i="7"/>
  <c r="D33" i="7"/>
  <c r="J18" i="7" l="1"/>
  <c r="J27" i="7" l="1"/>
  <c r="J26" i="7"/>
  <c r="J24" i="7"/>
  <c r="J23" i="7"/>
  <c r="J21" i="7"/>
  <c r="J20" i="7"/>
  <c r="J15" i="7"/>
  <c r="J17" i="7"/>
  <c r="J12" i="7"/>
  <c r="J11" i="7"/>
  <c r="J8" i="7"/>
  <c r="J7" i="7"/>
  <c r="J6" i="7"/>
  <c r="J5" i="7"/>
  <c r="G33" i="7"/>
  <c r="F33" i="7"/>
  <c r="E33" i="7"/>
  <c r="C33" i="7"/>
  <c r="B33" i="7"/>
  <c r="J30" i="7" l="1"/>
  <c r="J29" i="7"/>
  <c r="J28" i="7"/>
  <c r="J16" i="7"/>
  <c r="J19" i="7"/>
  <c r="J25" i="7"/>
  <c r="J9" i="7"/>
  <c r="J22" i="7"/>
  <c r="J13" i="7"/>
  <c r="J31" i="7" l="1"/>
  <c r="J33" i="7"/>
  <c r="A17" i="1"/>
  <c r="A1" i="1"/>
  <c r="A16" i="6"/>
  <c r="A1" i="6"/>
  <c r="A20" i="2"/>
  <c r="A19" i="2"/>
  <c r="A18" i="2"/>
  <c r="A17" i="2"/>
  <c r="A1" i="2"/>
  <c r="A18" i="3"/>
  <c r="A17" i="3"/>
  <c r="A16" i="3"/>
  <c r="A1" i="3"/>
  <c r="A3" i="8"/>
  <c r="D7" i="6" l="1"/>
  <c r="D8" i="6"/>
  <c r="D9" i="6"/>
  <c r="D10" i="6"/>
  <c r="D11" i="6"/>
  <c r="D12" i="6"/>
  <c r="D6" i="6"/>
  <c r="C6" i="6"/>
  <c r="C12" i="6" s="1"/>
  <c r="D6" i="2"/>
  <c r="C7" i="6" l="1"/>
  <c r="E7" i="6" s="1"/>
  <c r="C8" i="6"/>
  <c r="C9" i="6"/>
  <c r="C10" i="6"/>
  <c r="C11" i="6"/>
  <c r="C13" i="1"/>
  <c r="C6" i="3" l="1"/>
  <c r="J13" i="1" l="1"/>
  <c r="I13" i="1"/>
  <c r="H13" i="1"/>
  <c r="G13" i="1"/>
  <c r="F13" i="1"/>
  <c r="E13" i="1"/>
  <c r="D13" i="1"/>
  <c r="D7" i="2" l="1"/>
  <c r="D12" i="3" l="1"/>
  <c r="D11" i="3"/>
  <c r="D10" i="3"/>
  <c r="D9" i="3"/>
  <c r="D8" i="3"/>
  <c r="D7" i="3"/>
  <c r="D6" i="3"/>
  <c r="C8" i="3"/>
  <c r="C9" i="3"/>
  <c r="C10" i="3"/>
  <c r="C11" i="3"/>
  <c r="C12" i="3"/>
  <c r="C7" i="3"/>
  <c r="E6" i="3" l="1"/>
  <c r="E8" i="3"/>
  <c r="E10" i="3"/>
  <c r="E12" i="3"/>
  <c r="E7" i="3"/>
  <c r="E9" i="3"/>
  <c r="E11" i="3"/>
  <c r="F10" i="2"/>
  <c r="F8" i="2"/>
  <c r="F7" i="2"/>
  <c r="F9" i="2"/>
  <c r="F6" i="2"/>
  <c r="F11" i="2"/>
  <c r="E12" i="6"/>
  <c r="H12" i="2" s="1"/>
  <c r="E11" i="6"/>
  <c r="H11" i="2" s="1"/>
  <c r="E10" i="6"/>
  <c r="H10" i="2" s="1"/>
  <c r="E9" i="6"/>
  <c r="H9" i="2" s="1"/>
  <c r="E8" i="6"/>
  <c r="H8" i="2" s="1"/>
  <c r="H7" i="2"/>
  <c r="E6" i="6"/>
  <c r="H6" i="2" s="1"/>
  <c r="D12" i="2"/>
  <c r="D11" i="2"/>
  <c r="D10" i="2"/>
  <c r="D9" i="2"/>
  <c r="D8" i="2"/>
  <c r="F12" i="2"/>
  <c r="F13" i="2" l="1"/>
  <c r="C11" i="2" l="1"/>
  <c r="E11" i="2" s="1"/>
  <c r="G11" i="2" s="1"/>
  <c r="I11" i="2" s="1"/>
  <c r="C6" i="2"/>
  <c r="E6" i="2" s="1"/>
  <c r="G6" i="2" s="1"/>
  <c r="I6" i="2" s="1"/>
  <c r="F6" i="3" s="1"/>
  <c r="C7" i="2"/>
  <c r="E7" i="2" s="1"/>
  <c r="G7" i="2" s="1"/>
  <c r="I7" i="2" s="1"/>
  <c r="F7" i="3" s="1"/>
  <c r="C8" i="2"/>
  <c r="E8" i="2" s="1"/>
  <c r="G8" i="2" s="1"/>
  <c r="I8" i="2" s="1"/>
  <c r="C9" i="2"/>
  <c r="C12" i="2"/>
  <c r="E12" i="2" s="1"/>
  <c r="G12" i="2" s="1"/>
  <c r="I12" i="2" s="1"/>
  <c r="C10" i="2"/>
  <c r="E10" i="2" s="1"/>
  <c r="G10" i="2" s="1"/>
  <c r="I10" i="2" s="1"/>
  <c r="F8" i="3" l="1"/>
  <c r="G8" i="3" s="1"/>
  <c r="F10" i="3"/>
  <c r="G10" i="3" s="1"/>
  <c r="F11" i="3"/>
  <c r="G11" i="3" s="1"/>
  <c r="F12" i="3"/>
  <c r="G12" i="3" s="1"/>
  <c r="G7" i="3"/>
  <c r="G6" i="3"/>
  <c r="E9" i="2"/>
  <c r="G9" i="2" s="1"/>
  <c r="I9" i="2" s="1"/>
  <c r="C13" i="2"/>
  <c r="G13" i="2" l="1"/>
  <c r="F9" i="3"/>
  <c r="I13" i="2"/>
  <c r="E13" i="2"/>
  <c r="G9" i="3" l="1"/>
</calcChain>
</file>

<file path=xl/sharedStrings.xml><?xml version="1.0" encoding="utf-8"?>
<sst xmlns="http://schemas.openxmlformats.org/spreadsheetml/2006/main" count="140" uniqueCount="90">
  <si>
    <t>RRNum</t>
  </si>
  <si>
    <t>RRAlpha</t>
  </si>
  <si>
    <t>RVC_LT_100_VC</t>
  </si>
  <si>
    <t>RVC_LT_180_VC</t>
  </si>
  <si>
    <t>RVC_GE_180_VC</t>
  </si>
  <si>
    <t>Total_VC</t>
  </si>
  <si>
    <t>RVC_LT_100_Rev</t>
  </si>
  <si>
    <t>RVC_LT_180_Rev</t>
  </si>
  <si>
    <t>RVC_GE_180_Rev</t>
  </si>
  <si>
    <t>Total_Rev</t>
  </si>
  <si>
    <t>KCS</t>
  </si>
  <si>
    <t>NS</t>
  </si>
  <si>
    <t>CSXT</t>
  </si>
  <si>
    <t>BNSF</t>
  </si>
  <si>
    <t>UP</t>
  </si>
  <si>
    <t>Total</t>
  </si>
  <si>
    <t>(A)</t>
  </si>
  <si>
    <t>(B)</t>
  </si>
  <si>
    <t>(C)</t>
  </si>
  <si>
    <t>CN/GTC</t>
  </si>
  <si>
    <t>CP/SOO</t>
  </si>
  <si>
    <t>RR No.</t>
  </si>
  <si>
    <t>Railroad</t>
  </si>
  <si>
    <t>Revenue</t>
  </si>
  <si>
    <t>Variable Costs</t>
  </si>
  <si>
    <t>RVC GE 180</t>
  </si>
  <si>
    <t>(D)</t>
  </si>
  <si>
    <t>(E)=(C)/(D)</t>
  </si>
  <si>
    <t>Shortfall
(Surplus)</t>
  </si>
  <si>
    <t>(F)</t>
  </si>
  <si>
    <t>Page 1</t>
  </si>
  <si>
    <t>CSX</t>
  </si>
  <si>
    <t>SOO</t>
  </si>
  <si>
    <t>TOTAL</t>
  </si>
  <si>
    <t>Tax Adj
Net Inv Base</t>
  </si>
  <si>
    <t>Industry
Cost of Capital</t>
  </si>
  <si>
    <t>Required
NROI</t>
  </si>
  <si>
    <t>(E)=(C)*(D)</t>
  </si>
  <si>
    <t>Adjusted
NROI</t>
  </si>
  <si>
    <t>(G)=(E)-(F)</t>
  </si>
  <si>
    <t>RSAM</t>
  </si>
  <si>
    <t>(G)=[(C)+(F)]/(D)</t>
  </si>
  <si>
    <t>Source(s):</t>
  </si>
  <si>
    <t>Calculation of Shortfall (Surplus)</t>
  </si>
  <si>
    <t>Source:</t>
  </si>
  <si>
    <t>Class I Costs and Revenues by RVC Category</t>
  </si>
  <si>
    <t>RVC&gt;180</t>
  </si>
  <si>
    <t>(H)</t>
  </si>
  <si>
    <t>(I)=(G)/(1-(H))</t>
  </si>
  <si>
    <t>Tax-Adjusted
Shortfall (Surplus)</t>
  </si>
  <si>
    <t>Tax-Adj Shortfall (Surplus)</t>
  </si>
  <si>
    <t>Marginal
Tax Rate</t>
  </si>
  <si>
    <t>Calculation of Marginal Tax Rates</t>
  </si>
  <si>
    <t>(E)=(D)+(1-(D))*(C)</t>
  </si>
  <si>
    <t>Federal
Tax Rate</t>
  </si>
  <si>
    <t>Average State Tax Rate</t>
  </si>
  <si>
    <t>Combined/Consolidated NROI</t>
  </si>
  <si>
    <t>+ Interest From Working Cap. Cash</t>
  </si>
  <si>
    <t>+Inc Tax Non-rail</t>
  </si>
  <si>
    <t>+Net gain transfers</t>
  </si>
  <si>
    <t>** Adjusted NROI **</t>
  </si>
  <si>
    <t>Comb Net Inv R&amp;E End</t>
  </si>
  <si>
    <t>Comb Net Inv R&amp;E Start</t>
  </si>
  <si>
    <t>Comb Net Inv R&amp;E Av</t>
  </si>
  <si>
    <t>OE Inv End</t>
  </si>
  <si>
    <t>OE Inv Start</t>
  </si>
  <si>
    <t>OE Inv Av</t>
  </si>
  <si>
    <t>IDC End</t>
  </si>
  <si>
    <t>IDC Start</t>
  </si>
  <si>
    <t>IDC Av</t>
  </si>
  <si>
    <t>Net Rail Rel Ass. End</t>
  </si>
  <si>
    <t>Net Rail Rel Ass. Start</t>
  </si>
  <si>
    <t>Net Rail Rel Ass. Av</t>
  </si>
  <si>
    <t>Work Cap End</t>
  </si>
  <si>
    <t>Work Cap Start</t>
  </si>
  <si>
    <t>Work Cap Av</t>
  </si>
  <si>
    <t>Acc Def Tax End</t>
  </si>
  <si>
    <t>Acc Def Tax Start</t>
  </si>
  <si>
    <t>Acc Def Tax Av</t>
  </si>
  <si>
    <t>Tax Adj Net Inv Base End</t>
  </si>
  <si>
    <t>Tax Adj Net Inv Base Start</t>
  </si>
  <si>
    <t>* Tax Adj Net Inv Base *</t>
  </si>
  <si>
    <t xml:space="preserve"> TAX ADJUSTED ROI</t>
  </si>
  <si>
    <t>Industry Cost of Capital--EP 558</t>
  </si>
  <si>
    <t>Federal Tax Rate</t>
  </si>
  <si>
    <t>Year for RSAM Study</t>
  </si>
  <si>
    <t>REVENUE ADEQUACY WORKPAPERS  -  SCHEDULE 250  PART A</t>
  </si>
  <si>
    <t>Average State Tax Rates--EP 682</t>
  </si>
  <si>
    <t>TAX ADJUSTED RETURN ON INVESTMENT</t>
  </si>
  <si>
    <t>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</si>
</sst>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</numFmts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MS Sans Serif"/>
      <family val="2"/>
    </font>
    <font>
      <sz val="8"/>
      <name val="MS Sans Serif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10"/>
      <color theme="4"/>
      <name val="MS Sans Serif"/>
      <family val="2"/>
    </font>
    <font>
      <sz val="10"/>
      <color rgb="FFFF0000"/>
      <name val="MS Sans Serif"/>
      <family val="2"/>
    </font>
    <font>
      <u/>
      <sz val="10"/>
      <name val="MS Sans Serif"/>
      <family val="2"/>
    </font>
    <font>
      <sz val="10"/>
      <name val="MS Sans Serif"/>
    </font>
    <font>
      <sz val="10"/>
      <color theme="4"/>
      <name val="MS Sans Serif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lightGray">
        <fgColor indexed="8"/>
      </patternFill>
    </fill>
    <fill>
      <patternFill patternType="solid">
        <fgColor indexed="8"/>
      </patternFill>
    </fill>
    <fill>
      <patternFill patternType="gray0625">
        <fgColor indexed="13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8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43" fontId="24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Continuous"/>
    </xf>
    <xf numFmtId="0" fontId="5" fillId="0" borderId="0" xfId="1" applyFont="1"/>
    <xf numFmtId="0" fontId="6" fillId="0" borderId="0" xfId="1"/>
    <xf numFmtId="0" fontId="6" fillId="0" borderId="11" xfId="1" applyBorder="1"/>
    <xf numFmtId="10" fontId="5" fillId="0" borderId="0" xfId="1" applyNumberFormat="1" applyFont="1"/>
    <xf numFmtId="0" fontId="11" fillId="0" borderId="0" xfId="0" applyFont="1" applyAlignment="1">
      <alignment vertical="center" wrapText="1"/>
    </xf>
    <xf numFmtId="10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8" xfId="0" applyFont="1" applyBorder="1"/>
    <xf numFmtId="37" fontId="15" fillId="0" borderId="7" xfId="0" applyNumberFormat="1" applyFont="1" applyBorder="1"/>
    <xf numFmtId="0" fontId="15" fillId="0" borderId="10" xfId="0" applyFont="1" applyBorder="1"/>
    <xf numFmtId="37" fontId="15" fillId="0" borderId="9" xfId="0" applyNumberFormat="1" applyFont="1" applyBorder="1"/>
    <xf numFmtId="37" fontId="15" fillId="0" borderId="10" xfId="0" applyNumberFormat="1" applyFont="1" applyBorder="1"/>
    <xf numFmtId="0" fontId="15" fillId="0" borderId="12" xfId="0" applyFont="1" applyBorder="1"/>
    <xf numFmtId="37" fontId="15" fillId="0" borderId="12" xfId="0" applyNumberFormat="1" applyFont="1" applyBorder="1"/>
    <xf numFmtId="0" fontId="14" fillId="0" borderId="12" xfId="0" applyFont="1" applyBorder="1"/>
    <xf numFmtId="37" fontId="14" fillId="0" borderId="12" xfId="0" applyNumberFormat="1" applyFont="1" applyBorder="1"/>
    <xf numFmtId="0" fontId="14" fillId="2" borderId="12" xfId="0" applyFont="1" applyFill="1" applyBorder="1"/>
    <xf numFmtId="37" fontId="14" fillId="2" borderId="14" xfId="0" applyNumberFormat="1" applyFont="1" applyFill="1" applyBorder="1"/>
    <xf numFmtId="37" fontId="14" fillId="0" borderId="14" xfId="0" applyNumberFormat="1" applyFont="1" applyBorder="1"/>
    <xf numFmtId="0" fontId="15" fillId="0" borderId="9" xfId="0" applyFont="1" applyBorder="1"/>
    <xf numFmtId="0" fontId="14" fillId="0" borderId="10" xfId="0" applyFont="1" applyBorder="1"/>
    <xf numFmtId="0" fontId="14" fillId="3" borderId="10" xfId="0" applyFont="1" applyFill="1" applyBorder="1"/>
    <xf numFmtId="0" fontId="14" fillId="3" borderId="9" xfId="0" applyFont="1" applyFill="1" applyBorder="1"/>
    <xf numFmtId="10" fontId="18" fillId="4" borderId="12" xfId="0" applyNumberFormat="1" applyFont="1" applyFill="1" applyBorder="1"/>
    <xf numFmtId="0" fontId="19" fillId="0" borderId="0" xfId="1" applyFont="1"/>
    <xf numFmtId="0" fontId="6" fillId="5" borderId="0" xfId="1" applyFill="1"/>
    <xf numFmtId="0" fontId="20" fillId="0" borderId="0" xfId="1" applyFont="1"/>
    <xf numFmtId="0" fontId="21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5" xfId="0" quotePrefix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42" fontId="2" fillId="0" borderId="5" xfId="0" applyNumberFormat="1" applyFont="1" applyBorder="1"/>
    <xf numFmtId="4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42" fontId="2" fillId="0" borderId="6" xfId="0" applyNumberFormat="1" applyFont="1" applyBorder="1"/>
    <xf numFmtId="37" fontId="14" fillId="0" borderId="13" xfId="0" applyNumberFormat="1" applyFont="1" applyBorder="1"/>
    <xf numFmtId="37" fontId="14" fillId="0" borderId="19" xfId="0" applyNumberFormat="1" applyFont="1" applyBorder="1"/>
    <xf numFmtId="37" fontId="14" fillId="0" borderId="10" xfId="0" applyNumberFormat="1" applyFont="1" applyBorder="1"/>
    <xf numFmtId="0" fontId="2" fillId="0" borderId="0" xfId="0" quotePrefix="1" applyFont="1"/>
    <xf numFmtId="0" fontId="7" fillId="0" borderId="0" xfId="0" applyFont="1"/>
    <xf numFmtId="0" fontId="2" fillId="0" borderId="1" xfId="0" applyFont="1" applyBorder="1"/>
    <xf numFmtId="37" fontId="15" fillId="0" borderId="8" xfId="0" applyNumberFormat="1" applyFont="1" applyBorder="1"/>
    <xf numFmtId="37" fontId="15" fillId="0" borderId="16" xfId="0" applyNumberFormat="1" applyFont="1" applyBorder="1"/>
    <xf numFmtId="37" fontId="15" fillId="0" borderId="20" xfId="0" applyNumberFormat="1" applyFont="1" applyBorder="1"/>
    <xf numFmtId="37" fontId="15" fillId="0" borderId="17" xfId="0" applyNumberFormat="1" applyFont="1" applyBorder="1"/>
    <xf numFmtId="37" fontId="15" fillId="0" borderId="14" xfId="0" applyNumberFormat="1" applyFont="1" applyBorder="1"/>
    <xf numFmtId="37" fontId="14" fillId="7" borderId="12" xfId="0" applyNumberFormat="1" applyFont="1" applyFill="1" applyBorder="1"/>
    <xf numFmtId="37" fontId="14" fillId="7" borderId="14" xfId="0" applyNumberFormat="1" applyFont="1" applyFill="1" applyBorder="1"/>
    <xf numFmtId="37" fontId="6" fillId="0" borderId="9" xfId="0" applyNumberFormat="1" applyFont="1" applyBorder="1"/>
    <xf numFmtId="37" fontId="6" fillId="0" borderId="8" xfId="0" applyNumberFormat="1" applyFont="1" applyBorder="1"/>
    <xf numFmtId="37" fontId="6" fillId="0" borderId="10" xfId="0" applyNumberFormat="1" applyFont="1" applyBorder="1"/>
    <xf numFmtId="37" fontId="15" fillId="0" borderId="0" xfId="0" applyNumberFormat="1" applyFont="1"/>
    <xf numFmtId="37" fontId="15" fillId="0" borderId="21" xfId="0" applyNumberFormat="1" applyFont="1" applyBorder="1"/>
    <xf numFmtId="37" fontId="15" fillId="0" borderId="18" xfId="0" applyNumberFormat="1" applyFont="1" applyBorder="1"/>
    <xf numFmtId="0" fontId="14" fillId="8" borderId="17" xfId="0" applyFont="1" applyFill="1" applyBorder="1"/>
    <xf numFmtId="0" fontId="14" fillId="8" borderId="0" xfId="0" applyFont="1" applyFill="1"/>
    <xf numFmtId="0" fontId="14" fillId="8" borderId="9" xfId="0" applyFont="1" applyFill="1" applyBorder="1"/>
    <xf numFmtId="0" fontId="14" fillId="8" borderId="10" xfId="0" applyFont="1" applyFill="1" applyBorder="1"/>
    <xf numFmtId="10" fontId="18" fillId="6" borderId="13" xfId="0" applyNumberFormat="1" applyFont="1" applyFill="1" applyBorder="1"/>
    <xf numFmtId="10" fontId="18" fillId="6" borderId="14" xfId="0" applyNumberFormat="1" applyFont="1" applyFill="1" applyBorder="1"/>
    <xf numFmtId="0" fontId="22" fillId="0" borderId="0" xfId="0" applyFont="1"/>
    <xf numFmtId="0" fontId="2" fillId="0" borderId="0" xfId="0" quotePrefix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2" xfId="0" quotePrefix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25" xfId="0" applyBorder="1"/>
    <xf numFmtId="0" fontId="0" fillId="0" borderId="27" xfId="0" applyBorder="1"/>
    <xf numFmtId="0" fontId="2" fillId="0" borderId="27" xfId="0" quotePrefix="1" applyFont="1" applyBorder="1" applyAlignment="1">
      <alignment horizontal="left"/>
    </xf>
    <xf numFmtId="0" fontId="2" fillId="0" borderId="29" xfId="0" quotePrefix="1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3" fillId="9" borderId="31" xfId="0" applyFont="1" applyFill="1" applyBorder="1"/>
    <xf numFmtId="37" fontId="8" fillId="0" borderId="15" xfId="0" applyNumberFormat="1" applyFont="1" applyBorder="1"/>
    <xf numFmtId="37" fontId="8" fillId="2" borderId="12" xfId="0" applyNumberFormat="1" applyFont="1" applyFill="1" applyBorder="1"/>
    <xf numFmtId="37" fontId="6" fillId="0" borderId="16" xfId="0" applyNumberFormat="1" applyFont="1" applyBorder="1"/>
    <xf numFmtId="37" fontId="8" fillId="0" borderId="12" xfId="0" applyNumberFormat="1" applyFont="1" applyBorder="1"/>
    <xf numFmtId="37" fontId="8" fillId="0" borderId="14" xfId="0" applyNumberFormat="1" applyFont="1" applyBorder="1"/>
    <xf numFmtId="0" fontId="16" fillId="11" borderId="8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9" fontId="0" fillId="0" borderId="0" xfId="6" applyFont="1"/>
    <xf numFmtId="164" fontId="0" fillId="0" borderId="0" xfId="6" applyNumberFormat="1" applyFont="1"/>
    <xf numFmtId="0" fontId="25" fillId="0" borderId="0" xfId="0" applyFont="1"/>
    <xf numFmtId="9" fontId="2" fillId="0" borderId="5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6" fillId="10" borderId="15" xfId="7" applyFont="1" applyFill="1" applyBorder="1" applyAlignment="1">
      <alignment horizontal="center"/>
    </xf>
    <xf numFmtId="0" fontId="26" fillId="0" borderId="1" xfId="7" applyFont="1" applyFill="1" applyBorder="1" applyAlignment="1">
      <alignment horizontal="right" wrapText="1"/>
    </xf>
    <xf numFmtId="0" fontId="26" fillId="0" borderId="1" xfId="7" applyFont="1" applyFill="1" applyBorder="1" applyAlignment="1">
      <alignment wrapText="1"/>
    </xf>
    <xf numFmtId="0" fontId="3" fillId="0" borderId="24" xfId="0" applyFont="1" applyFill="1" applyBorder="1"/>
    <xf numFmtId="0" fontId="0" fillId="0" borderId="0" xfId="0" applyFill="1"/>
    <xf numFmtId="0" fontId="0" fillId="0" borderId="26" xfId="0" applyFill="1" applyBorder="1"/>
    <xf numFmtId="10" fontId="2" fillId="0" borderId="28" xfId="0" applyNumberFormat="1" applyFont="1" applyFill="1" applyBorder="1" applyAlignment="1">
      <alignment horizontal="center"/>
    </xf>
    <xf numFmtId="0" fontId="0" fillId="0" borderId="28" xfId="0" applyFill="1" applyBorder="1"/>
    <xf numFmtId="10" fontId="2" fillId="0" borderId="30" xfId="0" applyNumberFormat="1" applyFont="1" applyFill="1" applyBorder="1" applyAlignment="1">
      <alignment horizontal="center"/>
    </xf>
    <xf numFmtId="0" fontId="26" fillId="0" borderId="1" xfId="8" applyFont="1" applyBorder="1" applyAlignment="1">
      <alignment wrapText="1"/>
    </xf>
    <xf numFmtId="166" fontId="26" fillId="0" borderId="1" xfId="9" applyNumberFormat="1" applyFont="1" applyFill="1" applyBorder="1" applyAlignment="1">
      <alignment horizontal="right" wrapText="1"/>
    </xf>
    <xf numFmtId="0" fontId="28" fillId="0" borderId="0" xfId="0" applyFont="1"/>
    <xf numFmtId="42" fontId="28" fillId="0" borderId="1" xfId="0" quotePrefix="1" applyNumberFormat="1" applyFont="1" applyBorder="1"/>
    <xf numFmtId="0" fontId="28" fillId="0" borderId="0" xfId="0" quotePrefix="1" applyFont="1"/>
    <xf numFmtId="0" fontId="29" fillId="0" borderId="0" xfId="0" applyFont="1"/>
    <xf numFmtId="0" fontId="29" fillId="0" borderId="1" xfId="0" quotePrefix="1" applyFont="1" applyBorder="1"/>
    <xf numFmtId="165" fontId="29" fillId="0" borderId="1" xfId="0" quotePrefix="1" applyNumberFormat="1" applyFont="1" applyBorder="1"/>
    <xf numFmtId="42" fontId="29" fillId="0" borderId="1" xfId="0" quotePrefix="1" applyNumberFormat="1" applyFont="1" applyBorder="1"/>
    <xf numFmtId="0" fontId="26" fillId="0" borderId="0" xfId="7" applyFont="1" applyFill="1" applyBorder="1" applyAlignment="1">
      <alignment horizontal="right" wrapText="1"/>
    </xf>
    <xf numFmtId="0" fontId="3" fillId="9" borderId="23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</cellXfs>
  <cellStyles count="10">
    <cellStyle name="Comma" xfId="9" builtinId="3"/>
    <cellStyle name="Comma 2" xfId="4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_rad08tab1" xfId="1" xr:uid="{00000000-0005-0000-0000-000004000000}"/>
    <cellStyle name="Normal_RSAM_2016_Class_I_Costs_and_Rev" xfId="8" xr:uid="{D3C30521-BE75-401C-8CB1-4F42C9756388}"/>
    <cellStyle name="Normal_RSAM_2017_Class_I_Costs_and_Rev" xfId="7" xr:uid="{83B41C79-F337-4580-9A86-B0021B990ACE}"/>
    <cellStyle name="Percent" xfId="6" builtinId="5"/>
    <cellStyle name="Percent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workbookViewId="0">
      <selection activeCell="B1" sqref="B1:B1048576"/>
    </sheetView>
  </sheetViews>
  <sheetFormatPr defaultRowHeight="13" x14ac:dyDescent="0.3"/>
  <cols>
    <col min="1" max="1" width="36.26953125" customWidth="1"/>
    <col min="2" max="2" width="8.7265625" style="112"/>
  </cols>
  <sheetData>
    <row r="1" spans="1:2" ht="13.5" thickBot="1" x14ac:dyDescent="0.35">
      <c r="A1" s="95" t="s">
        <v>85</v>
      </c>
      <c r="B1" s="111">
        <v>2018</v>
      </c>
    </row>
    <row r="2" spans="1:2" ht="13.5" thickBot="1" x14ac:dyDescent="0.35"/>
    <row r="3" spans="1:2" ht="13.5" thickBot="1" x14ac:dyDescent="0.35">
      <c r="A3" s="127" t="str">
        <f>B1&amp;" Inputs"</f>
        <v>2018 Inputs</v>
      </c>
      <c r="B3" s="128"/>
    </row>
    <row r="4" spans="1:2" x14ac:dyDescent="0.3">
      <c r="A4" s="90"/>
      <c r="B4" s="113"/>
    </row>
    <row r="5" spans="1:2" x14ac:dyDescent="0.3">
      <c r="A5" s="91" t="s">
        <v>83</v>
      </c>
      <c r="B5" s="114">
        <v>0.1222</v>
      </c>
    </row>
    <row r="6" spans="1:2" x14ac:dyDescent="0.3">
      <c r="A6" s="91"/>
      <c r="B6" s="114"/>
    </row>
    <row r="7" spans="1:2" x14ac:dyDescent="0.3">
      <c r="A7" s="91" t="s">
        <v>84</v>
      </c>
      <c r="B7" s="114">
        <v>0.21</v>
      </c>
    </row>
    <row r="8" spans="1:2" x14ac:dyDescent="0.3">
      <c r="A8" s="91"/>
      <c r="B8" s="115"/>
    </row>
    <row r="9" spans="1:2" x14ac:dyDescent="0.3">
      <c r="A9" s="94" t="s">
        <v>87</v>
      </c>
      <c r="B9" s="115"/>
    </row>
    <row r="10" spans="1:2" x14ac:dyDescent="0.3">
      <c r="A10" s="92" t="s">
        <v>19</v>
      </c>
      <c r="B10" s="114">
        <v>8.1299999999999997E-2</v>
      </c>
    </row>
    <row r="11" spans="1:2" x14ac:dyDescent="0.3">
      <c r="A11" s="92" t="s">
        <v>20</v>
      </c>
      <c r="B11" s="114">
        <v>8.1930000000000003E-2</v>
      </c>
    </row>
    <row r="12" spans="1:2" x14ac:dyDescent="0.3">
      <c r="A12" s="92" t="s">
        <v>10</v>
      </c>
      <c r="B12" s="114">
        <v>5.4219999999999997E-2</v>
      </c>
    </row>
    <row r="13" spans="1:2" x14ac:dyDescent="0.3">
      <c r="A13" s="92" t="s">
        <v>11</v>
      </c>
      <c r="B13" s="114">
        <v>5.7529999999999998E-2</v>
      </c>
    </row>
    <row r="14" spans="1:2" x14ac:dyDescent="0.3">
      <c r="A14" s="92" t="s">
        <v>12</v>
      </c>
      <c r="B14" s="114">
        <v>5.2380000000000003E-2</v>
      </c>
    </row>
    <row r="15" spans="1:2" x14ac:dyDescent="0.3">
      <c r="A15" s="92" t="s">
        <v>13</v>
      </c>
      <c r="B15" s="114">
        <v>5.3120000000000001E-2</v>
      </c>
    </row>
    <row r="16" spans="1:2" ht="13.5" thickBot="1" x14ac:dyDescent="0.35">
      <c r="A16" s="93" t="s">
        <v>14</v>
      </c>
      <c r="B16" s="116">
        <v>5.7259999999999998E-2</v>
      </c>
    </row>
  </sheetData>
  <sheetProtection algorithmName="SHA-512" hashValue="g+iEMIBaph5AZR2XL86mLj3fmZgUVZ0qdf+QKumFcxDENVdzmv/I2Hjt3tDYaAr1KUTtao+5zlubF0zB3Qn/8w==" saltValue="k2YtGptRsuYVxtg+fu2VNQ==" spinCount="100000" sheet="1" objects="1" scenarios="1"/>
  <mergeCells count="1">
    <mergeCell ref="A3:B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tabSelected="1" zoomScale="90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defaultRowHeight="13" x14ac:dyDescent="0.3"/>
  <cols>
    <col min="1" max="1" width="8.81640625" bestFit="1" customWidth="1"/>
    <col min="2" max="2" width="10.1796875" bestFit="1" customWidth="1"/>
    <col min="3" max="10" width="20.7265625" customWidth="1"/>
  </cols>
  <sheetData>
    <row r="1" spans="1:10" ht="15.5" x14ac:dyDescent="0.35">
      <c r="A1" s="8" t="str">
        <f>'Inputs from Decisions'!B1&amp;" RSAM Calculation"</f>
        <v>2018 RSAM Calculation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</row>
    <row r="4" spans="1:10" ht="14.5" x14ac:dyDescent="0.35">
      <c r="A4" s="108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08" t="s">
        <v>5</v>
      </c>
      <c r="G4" s="108" t="s">
        <v>6</v>
      </c>
      <c r="H4" s="108" t="s">
        <v>7</v>
      </c>
      <c r="I4" s="108" t="s">
        <v>8</v>
      </c>
      <c r="J4" s="108" t="s">
        <v>9</v>
      </c>
    </row>
    <row r="5" spans="1:10" ht="14.5" x14ac:dyDescent="0.35">
      <c r="A5" s="109">
        <v>103</v>
      </c>
      <c r="B5" s="117" t="s">
        <v>19</v>
      </c>
      <c r="C5" s="118">
        <v>1146704772</v>
      </c>
      <c r="D5" s="118">
        <v>1101968376</v>
      </c>
      <c r="E5" s="118">
        <v>565476737</v>
      </c>
      <c r="F5" s="118">
        <v>2814149885</v>
      </c>
      <c r="G5" s="118">
        <v>548510469</v>
      </c>
      <c r="H5" s="118">
        <v>1471505126</v>
      </c>
      <c r="I5" s="118">
        <v>1548741260</v>
      </c>
      <c r="J5" s="118">
        <v>3568756855</v>
      </c>
    </row>
    <row r="6" spans="1:10" ht="14.5" x14ac:dyDescent="0.35">
      <c r="A6" s="109">
        <v>105</v>
      </c>
      <c r="B6" s="117" t="s">
        <v>20</v>
      </c>
      <c r="C6" s="118">
        <v>142480194</v>
      </c>
      <c r="D6" s="118">
        <v>521004451</v>
      </c>
      <c r="E6" s="118">
        <v>324195698</v>
      </c>
      <c r="F6" s="118">
        <v>987680343</v>
      </c>
      <c r="G6" s="118">
        <v>121900625</v>
      </c>
      <c r="H6" s="118">
        <v>768247306</v>
      </c>
      <c r="I6" s="118">
        <v>791497656</v>
      </c>
      <c r="J6" s="118">
        <v>1681645587</v>
      </c>
    </row>
    <row r="7" spans="1:10" ht="14.5" x14ac:dyDescent="0.35">
      <c r="A7" s="109">
        <v>400</v>
      </c>
      <c r="B7" s="110" t="s">
        <v>10</v>
      </c>
      <c r="C7" s="118">
        <v>390865555</v>
      </c>
      <c r="D7" s="118">
        <v>477606565</v>
      </c>
      <c r="E7" s="118">
        <v>135290188</v>
      </c>
      <c r="F7" s="118">
        <v>1003762308</v>
      </c>
      <c r="G7" s="118">
        <v>231200008</v>
      </c>
      <c r="H7" s="118">
        <v>617665415</v>
      </c>
      <c r="I7" s="118">
        <v>335347867</v>
      </c>
      <c r="J7" s="118">
        <v>1184213290</v>
      </c>
    </row>
    <row r="8" spans="1:10" ht="14.5" x14ac:dyDescent="0.35">
      <c r="A8" s="109">
        <v>555</v>
      </c>
      <c r="B8" s="110" t="s">
        <v>11</v>
      </c>
      <c r="C8" s="118">
        <v>1587802815</v>
      </c>
      <c r="D8" s="118">
        <v>4041985878</v>
      </c>
      <c r="E8" s="118">
        <v>1845370132</v>
      </c>
      <c r="F8" s="118">
        <v>7475158825</v>
      </c>
      <c r="G8" s="118">
        <v>1197674824</v>
      </c>
      <c r="H8" s="118">
        <v>5407741799</v>
      </c>
      <c r="I8" s="118">
        <v>4581487252</v>
      </c>
      <c r="J8" s="118">
        <v>11186903875</v>
      </c>
    </row>
    <row r="9" spans="1:10" ht="14.5" x14ac:dyDescent="0.35">
      <c r="A9" s="109">
        <v>712</v>
      </c>
      <c r="B9" s="110" t="s">
        <v>12</v>
      </c>
      <c r="C9" s="118">
        <v>1715959372</v>
      </c>
      <c r="D9" s="118">
        <v>3385571101</v>
      </c>
      <c r="E9" s="118">
        <v>1891656868</v>
      </c>
      <c r="F9" s="118">
        <v>6993187341</v>
      </c>
      <c r="G9" s="118">
        <v>1225751435</v>
      </c>
      <c r="H9" s="118">
        <v>4582683939</v>
      </c>
      <c r="I9" s="118">
        <v>4910062774</v>
      </c>
      <c r="J9" s="118">
        <v>10718498148</v>
      </c>
    </row>
    <row r="10" spans="1:10" ht="14.5" x14ac:dyDescent="0.35">
      <c r="A10" s="109">
        <v>777</v>
      </c>
      <c r="B10" s="110" t="s">
        <v>13</v>
      </c>
      <c r="C10" s="118">
        <v>4920344775</v>
      </c>
      <c r="D10" s="118">
        <v>10107068937</v>
      </c>
      <c r="E10" s="118">
        <v>2351495676</v>
      </c>
      <c r="F10" s="118">
        <v>17378909388</v>
      </c>
      <c r="G10" s="118">
        <v>3935952202</v>
      </c>
      <c r="H10" s="118">
        <v>13459374028</v>
      </c>
      <c r="I10" s="118">
        <v>5215622878</v>
      </c>
      <c r="J10" s="118">
        <v>22610949108</v>
      </c>
    </row>
    <row r="11" spans="1:10" ht="14.5" x14ac:dyDescent="0.35">
      <c r="A11" s="109">
        <v>802</v>
      </c>
      <c r="B11" s="110" t="s">
        <v>14</v>
      </c>
      <c r="C11" s="118">
        <v>1264604851</v>
      </c>
      <c r="D11" s="118">
        <v>7364856947</v>
      </c>
      <c r="E11" s="118">
        <v>4261651628</v>
      </c>
      <c r="F11" s="118">
        <v>12891113426</v>
      </c>
      <c r="G11" s="118">
        <v>986548017</v>
      </c>
      <c r="H11" s="118">
        <v>10561777513</v>
      </c>
      <c r="I11" s="118">
        <v>10286304442</v>
      </c>
      <c r="J11" s="118">
        <v>21834629972</v>
      </c>
    </row>
    <row r="12" spans="1:10" ht="14.5" x14ac:dyDescent="0.35">
      <c r="A12" s="126"/>
      <c r="B12" s="110"/>
      <c r="C12" s="118"/>
      <c r="D12" s="118"/>
      <c r="E12" s="118"/>
      <c r="F12" s="118"/>
      <c r="G12" s="118"/>
      <c r="H12" s="118"/>
      <c r="I12" s="118"/>
      <c r="J12" s="118"/>
    </row>
    <row r="13" spans="1:10" s="122" customFormat="1" ht="14.5" x14ac:dyDescent="0.35">
      <c r="B13" s="123" t="s">
        <v>15</v>
      </c>
      <c r="C13" s="124">
        <f>SUM(C5:C11)</f>
        <v>11168762334</v>
      </c>
      <c r="D13" s="125">
        <f t="shared" ref="D13:J13" si="0">SUM(D5:D11)</f>
        <v>27000062255</v>
      </c>
      <c r="E13" s="125">
        <f t="shared" si="0"/>
        <v>11375136927</v>
      </c>
      <c r="F13" s="125">
        <f t="shared" si="0"/>
        <v>49543961516</v>
      </c>
      <c r="G13" s="125">
        <f t="shared" si="0"/>
        <v>8247537580</v>
      </c>
      <c r="H13" s="125">
        <f t="shared" si="0"/>
        <v>36868995126</v>
      </c>
      <c r="I13" s="125">
        <f t="shared" si="0"/>
        <v>27669064129</v>
      </c>
      <c r="J13" s="125">
        <f t="shared" si="0"/>
        <v>72785596835</v>
      </c>
    </row>
    <row r="14" spans="1:10" s="119" customFormat="1" ht="14.5" x14ac:dyDescent="0.35"/>
    <row r="15" spans="1:10" s="119" customFormat="1" ht="14.5" x14ac:dyDescent="0.35">
      <c r="J15" s="120"/>
    </row>
    <row r="16" spans="1:10" s="119" customFormat="1" ht="14.5" x14ac:dyDescent="0.35">
      <c r="A16" s="119" t="s">
        <v>44</v>
      </c>
    </row>
    <row r="17" spans="1:10" s="119" customFormat="1" ht="14.5" x14ac:dyDescent="0.35">
      <c r="A17" s="121" t="str">
        <f>"     "&amp;'Inputs from Decisions'!B1&amp;" Carload Waybill Sample."</f>
        <v xml:space="preserve">     2018 Carload Waybill Sample.</v>
      </c>
    </row>
    <row r="18" spans="1:10" x14ac:dyDescent="0.3">
      <c r="D18" s="14"/>
    </row>
    <row r="19" spans="1:10" x14ac:dyDescent="0.3">
      <c r="C19" s="104"/>
      <c r="D19" s="104"/>
      <c r="E19" s="104"/>
      <c r="F19" s="104"/>
      <c r="G19" s="104"/>
      <c r="H19" s="104"/>
      <c r="I19" s="104"/>
      <c r="J19" s="104"/>
    </row>
    <row r="20" spans="1:10" x14ac:dyDescent="0.3">
      <c r="C20" s="104"/>
      <c r="D20" s="104"/>
      <c r="E20" s="104"/>
      <c r="F20" s="104"/>
      <c r="G20" s="104"/>
      <c r="H20" s="104"/>
      <c r="I20" s="104"/>
      <c r="J20" s="104"/>
    </row>
  </sheetData>
  <sheetProtection algorithmName="SHA-512" hashValue="g+OlNsEjoJUYQBngP71/O5Yq+YYSATM7zFTnmbwUbffNTimK120JfxRRu3kX2hxW5kygq1H1Zjf1fi2Ni1ndNg==" saltValue="11JO/KRRM6MAmsHK2M5ZLw==" spinCount="100000" sheet="1" objects="1" scenarios="1"/>
  <phoneticPr fontId="0" type="noConversion"/>
  <printOptions horizontalCentered="1"/>
  <pageMargins left="0.5" right="0.5" top="1" bottom="1" header="0.5" footer="0.5"/>
  <pageSetup scale="70" orientation="landscape" r:id="rId1"/>
  <headerFooter alignWithMargins="0">
    <oddFooter>&amp;L&amp;F [&amp;A]&amp;RPage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GK42"/>
  <sheetViews>
    <sheetView showGridLines="0" defaultGridColor="0" colorId="22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8" sqref="H38"/>
    </sheetView>
  </sheetViews>
  <sheetFormatPr defaultColWidth="9.1796875" defaultRowHeight="10" x14ac:dyDescent="0.2"/>
  <cols>
    <col min="1" max="1" width="63.7265625" style="10" customWidth="1"/>
    <col min="2" max="2" width="12.1796875" style="10" bestFit="1" customWidth="1"/>
    <col min="3" max="3" width="12.7265625" style="10" bestFit="1" customWidth="1"/>
    <col min="4" max="4" width="13.26953125" style="10" bestFit="1" customWidth="1"/>
    <col min="5" max="5" width="10.81640625" style="10" bestFit="1" customWidth="1"/>
    <col min="6" max="6" width="12" style="10" bestFit="1" customWidth="1"/>
    <col min="7" max="7" width="11.453125" style="10" bestFit="1" customWidth="1"/>
    <col min="8" max="8" width="12.26953125" style="10" bestFit="1" customWidth="1"/>
    <col min="9" max="9" width="9.1796875" style="10"/>
    <col min="10" max="10" width="13.26953125" style="10" bestFit="1" customWidth="1"/>
    <col min="11" max="16384" width="9.1796875" style="10"/>
  </cols>
  <sheetData>
    <row r="1" spans="1:193" ht="24" customHeight="1" x14ac:dyDescent="0.3">
      <c r="A1" s="62" t="s">
        <v>86</v>
      </c>
      <c r="B1" s="16"/>
      <c r="C1" s="16"/>
      <c r="D1" s="15"/>
      <c r="E1" s="15"/>
      <c r="F1" s="15"/>
      <c r="G1" s="16"/>
      <c r="H1" s="15"/>
      <c r="I1" s="15"/>
      <c r="J1" s="15" t="s">
        <v>30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</row>
    <row r="2" spans="1:193" ht="8.65" customHeight="1" x14ac:dyDescent="0.25">
      <c r="A2" s="17"/>
      <c r="B2" s="18"/>
      <c r="C2" s="18"/>
      <c r="D2" s="18"/>
      <c r="E2" s="18"/>
      <c r="F2" s="18"/>
      <c r="G2" s="18"/>
      <c r="H2" s="17"/>
      <c r="I2" s="17"/>
      <c r="J2" s="18"/>
    </row>
    <row r="3" spans="1:193" ht="11.15" customHeight="1" x14ac:dyDescent="0.25">
      <c r="A3" s="19" t="s">
        <v>22</v>
      </c>
      <c r="B3" s="101" t="s">
        <v>13</v>
      </c>
      <c r="C3" s="102" t="s">
        <v>31</v>
      </c>
      <c r="D3" s="102" t="s">
        <v>89</v>
      </c>
      <c r="E3" s="102" t="s">
        <v>10</v>
      </c>
      <c r="F3" s="102" t="s">
        <v>11</v>
      </c>
      <c r="G3" s="102" t="s">
        <v>32</v>
      </c>
      <c r="H3" s="102" t="s">
        <v>14</v>
      </c>
      <c r="I3" s="19"/>
      <c r="J3" s="20" t="s">
        <v>33</v>
      </c>
    </row>
    <row r="4" spans="1:193" ht="11.15" customHeight="1" x14ac:dyDescent="0.25">
      <c r="A4" s="21"/>
      <c r="B4" s="22"/>
      <c r="C4" s="21"/>
      <c r="D4" s="23"/>
      <c r="E4" s="21"/>
      <c r="F4" s="21"/>
      <c r="G4" s="21"/>
      <c r="H4" s="24"/>
      <c r="I4" s="21"/>
      <c r="J4" s="22"/>
    </row>
    <row r="5" spans="1:193" ht="11.15" customHeight="1" x14ac:dyDescent="0.2">
      <c r="A5" s="25" t="s">
        <v>56</v>
      </c>
      <c r="B5" s="72">
        <v>5698769</v>
      </c>
      <c r="C5" s="64">
        <v>2939460</v>
      </c>
      <c r="D5" s="64">
        <v>818273</v>
      </c>
      <c r="E5" s="26">
        <v>363227</v>
      </c>
      <c r="F5" s="64">
        <v>2550802</v>
      </c>
      <c r="G5" s="26">
        <v>448032</v>
      </c>
      <c r="H5" s="26">
        <v>6268246</v>
      </c>
      <c r="I5" s="26"/>
      <c r="J5" s="72">
        <f>SUM(B5:I5)</f>
        <v>19086809</v>
      </c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</row>
    <row r="6" spans="1:193" ht="11.15" customHeight="1" x14ac:dyDescent="0.2">
      <c r="A6" s="27" t="s">
        <v>57</v>
      </c>
      <c r="B6" s="73">
        <v>5629</v>
      </c>
      <c r="C6" s="29">
        <v>802</v>
      </c>
      <c r="D6" s="29">
        <v>767</v>
      </c>
      <c r="E6" s="28">
        <v>752</v>
      </c>
      <c r="F6" s="29">
        <v>9907</v>
      </c>
      <c r="G6" s="28">
        <v>157</v>
      </c>
      <c r="H6" s="28">
        <v>0</v>
      </c>
      <c r="I6" s="28"/>
      <c r="J6" s="73">
        <f>SUM(B6:I6)</f>
        <v>18014</v>
      </c>
    </row>
    <row r="7" spans="1:193" ht="11.15" customHeight="1" x14ac:dyDescent="0.2">
      <c r="A7" s="27" t="s">
        <v>58</v>
      </c>
      <c r="B7" s="28">
        <v>144406</v>
      </c>
      <c r="C7" s="28">
        <v>68062</v>
      </c>
      <c r="D7" s="28">
        <v>984</v>
      </c>
      <c r="E7" s="28">
        <v>-11</v>
      </c>
      <c r="F7" s="28">
        <v>97161</v>
      </c>
      <c r="G7" s="28">
        <v>4172</v>
      </c>
      <c r="H7" s="28">
        <v>92538</v>
      </c>
      <c r="I7" s="28"/>
      <c r="J7" s="73">
        <f>SUM(B7:I7)</f>
        <v>407312</v>
      </c>
    </row>
    <row r="8" spans="1:193" ht="11.15" customHeight="1" x14ac:dyDescent="0.2">
      <c r="A8" s="30" t="s">
        <v>59</v>
      </c>
      <c r="B8" s="31">
        <v>10838</v>
      </c>
      <c r="C8" s="31">
        <v>116671</v>
      </c>
      <c r="D8" s="31">
        <v>891</v>
      </c>
      <c r="E8" s="68">
        <v>211</v>
      </c>
      <c r="F8" s="31">
        <v>116739</v>
      </c>
      <c r="G8" s="68">
        <v>20161</v>
      </c>
      <c r="H8" s="68">
        <v>22384</v>
      </c>
      <c r="I8" s="31"/>
      <c r="J8" s="73">
        <f>SUM(B8:I8)</f>
        <v>287895</v>
      </c>
    </row>
    <row r="9" spans="1:193" ht="11.15" customHeight="1" x14ac:dyDescent="0.25">
      <c r="A9" s="32" t="s">
        <v>60</v>
      </c>
      <c r="B9" s="33">
        <v>5859642</v>
      </c>
      <c r="C9" s="58">
        <v>3124995</v>
      </c>
      <c r="D9" s="59">
        <v>820915</v>
      </c>
      <c r="E9" s="36">
        <v>364179</v>
      </c>
      <c r="F9" s="33">
        <v>2774609</v>
      </c>
      <c r="G9" s="100">
        <v>472522</v>
      </c>
      <c r="H9" s="36">
        <v>6383168</v>
      </c>
      <c r="I9" s="33"/>
      <c r="J9" s="96">
        <f>J8+J7+J6+J5</f>
        <v>19800030</v>
      </c>
    </row>
    <row r="10" spans="1:193" ht="14.25" customHeight="1" x14ac:dyDescent="0.25">
      <c r="A10" s="34"/>
      <c r="B10" s="69"/>
      <c r="C10" s="69"/>
      <c r="D10" s="69"/>
      <c r="E10" s="69"/>
      <c r="F10" s="69"/>
      <c r="G10" s="70"/>
      <c r="H10" s="70"/>
      <c r="I10" s="35"/>
      <c r="J10" s="97"/>
    </row>
    <row r="11" spans="1:193" ht="11.15" customHeight="1" x14ac:dyDescent="0.2">
      <c r="A11" s="27" t="s">
        <v>61</v>
      </c>
      <c r="B11" s="29">
        <v>62335029</v>
      </c>
      <c r="C11" s="29">
        <v>29761120</v>
      </c>
      <c r="D11" s="29">
        <v>13395444</v>
      </c>
      <c r="E11" s="28">
        <v>5364429</v>
      </c>
      <c r="F11" s="29">
        <v>29814555</v>
      </c>
      <c r="G11" s="28">
        <v>4485107</v>
      </c>
      <c r="H11" s="28">
        <v>50523112</v>
      </c>
      <c r="I11" s="29"/>
      <c r="J11" s="72">
        <f>SUM(B11:I11)</f>
        <v>195678796</v>
      </c>
    </row>
    <row r="12" spans="1:193" ht="11.15" customHeight="1" x14ac:dyDescent="0.2">
      <c r="A12" s="27" t="s">
        <v>62</v>
      </c>
      <c r="B12" s="65">
        <v>61383025</v>
      </c>
      <c r="C12" s="65">
        <v>29612357</v>
      </c>
      <c r="D12" s="65">
        <v>12654069</v>
      </c>
      <c r="E12" s="65">
        <v>5196420</v>
      </c>
      <c r="F12" s="65">
        <v>29075615</v>
      </c>
      <c r="G12" s="66">
        <v>4296271</v>
      </c>
      <c r="H12" s="65">
        <v>49456306</v>
      </c>
      <c r="I12" s="29"/>
      <c r="J12" s="98">
        <f>SUM(B12:I12)</f>
        <v>191674063</v>
      </c>
    </row>
    <row r="13" spans="1:193" ht="11.15" customHeight="1" x14ac:dyDescent="0.25">
      <c r="A13" s="32" t="s">
        <v>63</v>
      </c>
      <c r="B13" s="33">
        <v>61859027</v>
      </c>
      <c r="C13" s="33">
        <v>29686738.5</v>
      </c>
      <c r="D13" s="33">
        <v>13024756.5</v>
      </c>
      <c r="E13" s="33">
        <v>5280424.5</v>
      </c>
      <c r="F13" s="33">
        <v>29445085</v>
      </c>
      <c r="G13" s="36">
        <v>4390689</v>
      </c>
      <c r="H13" s="36">
        <v>49989709</v>
      </c>
      <c r="I13" s="36"/>
      <c r="J13" s="99">
        <f>(J11+J12)/2</f>
        <v>193676429.5</v>
      </c>
    </row>
    <row r="14" spans="1:193" ht="11.15" customHeight="1" x14ac:dyDescent="0.2">
      <c r="A14" s="27" t="s">
        <v>67</v>
      </c>
      <c r="B14" s="29">
        <v>0</v>
      </c>
      <c r="C14" s="74">
        <v>0</v>
      </c>
      <c r="D14" s="29">
        <v>0</v>
      </c>
      <c r="E14" s="28">
        <v>4320</v>
      </c>
      <c r="F14" s="29">
        <v>2580</v>
      </c>
      <c r="G14" s="28">
        <v>14293</v>
      </c>
      <c r="H14" s="71">
        <v>43250</v>
      </c>
      <c r="I14" s="29"/>
      <c r="J14" s="72">
        <f>SUM(B14:I14)</f>
        <v>64443</v>
      </c>
    </row>
    <row r="15" spans="1:193" ht="11.15" customHeight="1" x14ac:dyDescent="0.2">
      <c r="A15" s="27" t="s">
        <v>68</v>
      </c>
      <c r="B15" s="65">
        <v>0</v>
      </c>
      <c r="C15" s="75">
        <v>0</v>
      </c>
      <c r="D15" s="65">
        <v>0</v>
      </c>
      <c r="E15" s="66">
        <v>4320</v>
      </c>
      <c r="F15" s="66">
        <v>2580</v>
      </c>
      <c r="G15" s="66">
        <v>4684</v>
      </c>
      <c r="H15" s="65">
        <v>43251</v>
      </c>
      <c r="I15" s="29"/>
      <c r="J15" s="98">
        <f>SUM(B15:I15)</f>
        <v>54835</v>
      </c>
    </row>
    <row r="16" spans="1:193" ht="11.15" customHeight="1" x14ac:dyDescent="0.25">
      <c r="A16" s="32" t="s">
        <v>69</v>
      </c>
      <c r="B16" s="33">
        <v>0</v>
      </c>
      <c r="C16" s="59">
        <v>0</v>
      </c>
      <c r="D16" s="33">
        <v>0</v>
      </c>
      <c r="E16" s="36">
        <v>4320</v>
      </c>
      <c r="F16" s="36">
        <v>2580</v>
      </c>
      <c r="G16" s="36">
        <v>9488.5</v>
      </c>
      <c r="H16" s="36">
        <v>43250.5</v>
      </c>
      <c r="I16" s="36"/>
      <c r="J16" s="99">
        <f>(J14+J15)/2</f>
        <v>59639</v>
      </c>
    </row>
    <row r="17" spans="1:12" ht="11.15" customHeight="1" x14ac:dyDescent="0.2">
      <c r="A17" s="37" t="s">
        <v>64</v>
      </c>
      <c r="B17" s="74">
        <v>0</v>
      </c>
      <c r="C17" s="74">
        <v>0</v>
      </c>
      <c r="D17" s="29">
        <v>0</v>
      </c>
      <c r="E17" s="28">
        <v>0</v>
      </c>
      <c r="F17" s="29">
        <v>0</v>
      </c>
      <c r="G17" s="28">
        <v>1135</v>
      </c>
      <c r="H17" s="28">
        <v>0</v>
      </c>
      <c r="I17" s="29"/>
      <c r="J17" s="72">
        <f>SUM(B17:I17)</f>
        <v>1135</v>
      </c>
    </row>
    <row r="18" spans="1:12" ht="11.15" customHeight="1" x14ac:dyDescent="0.2">
      <c r="A18" s="27" t="s">
        <v>65</v>
      </c>
      <c r="B18" s="75">
        <v>0</v>
      </c>
      <c r="C18" s="75">
        <v>0</v>
      </c>
      <c r="D18" s="65">
        <v>0</v>
      </c>
      <c r="E18" s="66">
        <v>0</v>
      </c>
      <c r="F18" s="66">
        <v>0</v>
      </c>
      <c r="G18" s="66">
        <v>1135</v>
      </c>
      <c r="H18" s="65">
        <v>0</v>
      </c>
      <c r="I18" s="29"/>
      <c r="J18" s="98">
        <f>SUM(B18:I18)</f>
        <v>1135</v>
      </c>
    </row>
    <row r="19" spans="1:12" ht="11.15" customHeight="1" x14ac:dyDescent="0.25">
      <c r="A19" s="32" t="s">
        <v>66</v>
      </c>
      <c r="B19" s="59">
        <v>0</v>
      </c>
      <c r="C19" s="59">
        <v>0</v>
      </c>
      <c r="D19" s="33">
        <v>0</v>
      </c>
      <c r="E19" s="36">
        <v>0</v>
      </c>
      <c r="F19" s="33">
        <v>0</v>
      </c>
      <c r="G19" s="36">
        <v>1135</v>
      </c>
      <c r="H19" s="36">
        <v>0</v>
      </c>
      <c r="I19" s="36"/>
      <c r="J19" s="99">
        <f>(J17+J18)/2</f>
        <v>1135</v>
      </c>
    </row>
    <row r="20" spans="1:12" ht="11.15" customHeight="1" x14ac:dyDescent="0.2">
      <c r="A20" s="27" t="s">
        <v>70</v>
      </c>
      <c r="B20" s="29">
        <v>0</v>
      </c>
      <c r="C20" s="74">
        <v>0</v>
      </c>
      <c r="D20" s="29">
        <v>191056</v>
      </c>
      <c r="E20" s="28">
        <v>6186</v>
      </c>
      <c r="F20" s="29">
        <v>0</v>
      </c>
      <c r="G20" s="28">
        <v>0</v>
      </c>
      <c r="H20" s="28">
        <v>0</v>
      </c>
      <c r="I20" s="29"/>
      <c r="J20" s="72">
        <f>SUM(B20:I20)</f>
        <v>197242</v>
      </c>
    </row>
    <row r="21" spans="1:12" ht="11.15" customHeight="1" x14ac:dyDescent="0.2">
      <c r="A21" s="27" t="s">
        <v>71</v>
      </c>
      <c r="B21" s="65">
        <v>0</v>
      </c>
      <c r="C21" s="75">
        <v>0</v>
      </c>
      <c r="D21" s="65">
        <v>186295</v>
      </c>
      <c r="E21" s="66">
        <v>5949</v>
      </c>
      <c r="F21" s="66">
        <v>0</v>
      </c>
      <c r="G21" s="66">
        <v>0</v>
      </c>
      <c r="H21" s="65">
        <v>0</v>
      </c>
      <c r="I21" s="29"/>
      <c r="J21" s="98">
        <f>SUM(B21:I21)</f>
        <v>192244</v>
      </c>
    </row>
    <row r="22" spans="1:12" ht="11.15" customHeight="1" x14ac:dyDescent="0.25">
      <c r="A22" s="32" t="s">
        <v>72</v>
      </c>
      <c r="B22" s="33">
        <v>0</v>
      </c>
      <c r="C22" s="59">
        <v>0</v>
      </c>
      <c r="D22" s="33">
        <v>188675.5</v>
      </c>
      <c r="E22" s="36">
        <v>6067.5</v>
      </c>
      <c r="F22" s="36">
        <v>0</v>
      </c>
      <c r="G22" s="36">
        <v>0</v>
      </c>
      <c r="H22" s="36">
        <v>0</v>
      </c>
      <c r="I22" s="36"/>
      <c r="J22" s="99">
        <f>(J20+J21)/2</f>
        <v>194743</v>
      </c>
    </row>
    <row r="23" spans="1:12" ht="11.15" customHeight="1" x14ac:dyDescent="0.2">
      <c r="A23" s="27" t="s">
        <v>73</v>
      </c>
      <c r="B23" s="29">
        <v>1133987</v>
      </c>
      <c r="C23" s="29">
        <v>259087</v>
      </c>
      <c r="D23" s="29">
        <v>163594</v>
      </c>
      <c r="E23" s="28">
        <v>98535</v>
      </c>
      <c r="F23" s="29">
        <v>519900</v>
      </c>
      <c r="G23" s="28">
        <v>34765</v>
      </c>
      <c r="H23" s="28">
        <v>989414</v>
      </c>
      <c r="I23" s="29"/>
      <c r="J23" s="72">
        <f>SUM(B23:H23)</f>
        <v>3199282</v>
      </c>
    </row>
    <row r="24" spans="1:12" ht="11.15" customHeight="1" x14ac:dyDescent="0.2">
      <c r="A24" s="27" t="s">
        <v>74</v>
      </c>
      <c r="B24" s="65">
        <v>1100717</v>
      </c>
      <c r="C24" s="65">
        <v>379715.24036</v>
      </c>
      <c r="D24" s="65">
        <v>140712</v>
      </c>
      <c r="E24" s="66">
        <v>95600</v>
      </c>
      <c r="F24" s="66">
        <v>683547</v>
      </c>
      <c r="G24" s="66">
        <v>63320</v>
      </c>
      <c r="H24" s="65">
        <v>1026029</v>
      </c>
      <c r="I24" s="29"/>
      <c r="J24" s="98">
        <f>SUM(B24:I24)</f>
        <v>3489640.2403600002</v>
      </c>
    </row>
    <row r="25" spans="1:12" ht="11.15" customHeight="1" x14ac:dyDescent="0.25">
      <c r="A25" s="32" t="s">
        <v>75</v>
      </c>
      <c r="B25" s="33">
        <v>1117352</v>
      </c>
      <c r="C25" s="33">
        <v>319401.12017999997</v>
      </c>
      <c r="D25" s="33">
        <v>152153</v>
      </c>
      <c r="E25" s="36">
        <v>97067.5</v>
      </c>
      <c r="F25" s="33">
        <v>601723.5</v>
      </c>
      <c r="G25" s="36">
        <v>49042.5</v>
      </c>
      <c r="H25" s="36">
        <v>1007721.5</v>
      </c>
      <c r="I25" s="36"/>
      <c r="J25" s="99">
        <f>(J23+J24)/2</f>
        <v>3344461.1201800001</v>
      </c>
    </row>
    <row r="26" spans="1:12" ht="11.15" customHeight="1" x14ac:dyDescent="0.2">
      <c r="A26" s="28" t="s">
        <v>76</v>
      </c>
      <c r="B26" s="29">
        <v>13851935</v>
      </c>
      <c r="C26" s="29">
        <v>6416363</v>
      </c>
      <c r="D26" s="29">
        <v>2759188</v>
      </c>
      <c r="E26" s="28">
        <v>885075</v>
      </c>
      <c r="F26" s="29">
        <v>6275508</v>
      </c>
      <c r="G26" s="28">
        <v>955032</v>
      </c>
      <c r="H26" s="28">
        <v>10743429</v>
      </c>
      <c r="I26" s="29"/>
      <c r="J26" s="72">
        <f>SUM(B26:I26)</f>
        <v>41886530</v>
      </c>
    </row>
    <row r="27" spans="1:12" ht="11.15" customHeight="1" x14ac:dyDescent="0.2">
      <c r="A27" s="29" t="s">
        <v>77</v>
      </c>
      <c r="B27" s="65">
        <v>13515951</v>
      </c>
      <c r="C27" s="65">
        <v>6167323</v>
      </c>
      <c r="D27" s="65">
        <v>2635557</v>
      </c>
      <c r="E27" s="66">
        <v>802267</v>
      </c>
      <c r="F27" s="66">
        <v>6112373</v>
      </c>
      <c r="G27" s="66">
        <v>896141</v>
      </c>
      <c r="H27" s="65">
        <v>10371648</v>
      </c>
      <c r="I27" s="29"/>
      <c r="J27" s="98">
        <f>SUM(B27:I27)</f>
        <v>40501260</v>
      </c>
    </row>
    <row r="28" spans="1:12" ht="11.15" customHeight="1" x14ac:dyDescent="0.25">
      <c r="A28" s="36" t="s">
        <v>78</v>
      </c>
      <c r="B28" s="33">
        <v>13683943</v>
      </c>
      <c r="C28" s="33">
        <v>6291843</v>
      </c>
      <c r="D28" s="33">
        <v>2697372.5</v>
      </c>
      <c r="E28" s="36">
        <v>843671</v>
      </c>
      <c r="F28" s="33">
        <v>6193940.5</v>
      </c>
      <c r="G28" s="36">
        <v>925586.5</v>
      </c>
      <c r="H28" s="36">
        <v>10557538.5</v>
      </c>
      <c r="I28" s="36"/>
      <c r="J28" s="99">
        <f>(J26+J27)/2</f>
        <v>41193895</v>
      </c>
    </row>
    <row r="29" spans="1:12" ht="11.15" customHeight="1" x14ac:dyDescent="0.2">
      <c r="A29" s="27" t="s">
        <v>79</v>
      </c>
      <c r="B29" s="67">
        <v>49617081</v>
      </c>
      <c r="C29" s="67">
        <v>23603844</v>
      </c>
      <c r="D29" s="67">
        <v>10990906</v>
      </c>
      <c r="E29" s="67">
        <v>4579755</v>
      </c>
      <c r="F29" s="29">
        <v>24056367</v>
      </c>
      <c r="G29" s="28">
        <v>3549412</v>
      </c>
      <c r="H29" s="28">
        <v>40725847</v>
      </c>
      <c r="I29" s="28"/>
      <c r="J29" s="73">
        <f>J11+J23+J20-J17-J14-J26</f>
        <v>157123212</v>
      </c>
    </row>
    <row r="30" spans="1:12" ht="11.15" customHeight="1" x14ac:dyDescent="0.2">
      <c r="A30" s="27" t="s">
        <v>80</v>
      </c>
      <c r="B30" s="76">
        <v>48967791</v>
      </c>
      <c r="C30" s="76">
        <v>23824749</v>
      </c>
      <c r="D30" s="76">
        <v>10345519</v>
      </c>
      <c r="E30" s="67">
        <v>4491382</v>
      </c>
      <c r="F30" s="66">
        <v>23644209</v>
      </c>
      <c r="G30" s="66">
        <v>3457631</v>
      </c>
      <c r="H30" s="65">
        <v>40067436</v>
      </c>
      <c r="I30" s="29"/>
      <c r="J30" s="98">
        <f>J12+J24+J21-J18-J15-J27</f>
        <v>154798717.24035999</v>
      </c>
    </row>
    <row r="31" spans="1:12" ht="11.15" customHeight="1" x14ac:dyDescent="0.25">
      <c r="A31" s="38" t="s">
        <v>81</v>
      </c>
      <c r="B31" s="60">
        <v>49292436</v>
      </c>
      <c r="C31" s="58">
        <v>23714296.5</v>
      </c>
      <c r="D31" s="58">
        <v>10668212.5</v>
      </c>
      <c r="E31" s="36">
        <v>4535568.5</v>
      </c>
      <c r="F31" s="36">
        <v>23850288</v>
      </c>
      <c r="G31" s="36">
        <v>3503521.5</v>
      </c>
      <c r="H31" s="36">
        <v>40396641.5</v>
      </c>
      <c r="I31" s="36"/>
      <c r="J31" s="99">
        <f>J13+J25+J22-J19-J16-J28</f>
        <v>155960964.62018001</v>
      </c>
    </row>
    <row r="32" spans="1:12" ht="0.75" customHeight="1" x14ac:dyDescent="0.25">
      <c r="A32" s="39"/>
      <c r="B32" s="77">
        <v>0.11887507446375749</v>
      </c>
      <c r="C32" s="78">
        <v>0.13177683765571541</v>
      </c>
      <c r="D32" s="79">
        <v>7.6949629565402827E-2</v>
      </c>
      <c r="E32" s="79">
        <v>8.0294013859563584E-2</v>
      </c>
      <c r="F32" s="80">
        <v>0.11633440233509969</v>
      </c>
      <c r="G32" s="79">
        <v>0.13487058663690232</v>
      </c>
      <c r="H32" s="79">
        <v>0.15801234367465919</v>
      </c>
      <c r="I32" s="40"/>
      <c r="J32" s="39"/>
      <c r="L32" s="10" t="s">
        <v>88</v>
      </c>
    </row>
    <row r="33" spans="1:193" ht="13.5" customHeight="1" x14ac:dyDescent="0.35">
      <c r="A33" s="41" t="s">
        <v>82</v>
      </c>
      <c r="B33" s="81">
        <f t="shared" ref="B33:G33" si="0">B9/B31</f>
        <v>0.11887507446375749</v>
      </c>
      <c r="C33" s="81">
        <f t="shared" si="0"/>
        <v>0.13177683765571541</v>
      </c>
      <c r="D33" s="81">
        <f>D9/D31</f>
        <v>7.6949629565402827E-2</v>
      </c>
      <c r="E33" s="81">
        <f t="shared" si="0"/>
        <v>8.0294013859563584E-2</v>
      </c>
      <c r="F33" s="81">
        <f t="shared" si="0"/>
        <v>0.11633440233509969</v>
      </c>
      <c r="G33" s="81">
        <f t="shared" si="0"/>
        <v>0.13487058663690232</v>
      </c>
      <c r="H33" s="81">
        <f>H9/H31</f>
        <v>0.15801234367465919</v>
      </c>
      <c r="I33" s="82"/>
      <c r="J33" s="81">
        <f>J9/J31</f>
        <v>0.12695503678256967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9"/>
      <c r="GI33" s="9"/>
      <c r="GJ33" s="9"/>
      <c r="GK33" s="9"/>
    </row>
    <row r="34" spans="1:193" ht="0.75" customHeight="1" x14ac:dyDescent="0.2">
      <c r="D34" s="43"/>
    </row>
    <row r="35" spans="1:193" ht="12" customHeight="1" x14ac:dyDescent="0.2">
      <c r="B35" s="42"/>
      <c r="D35" s="44"/>
      <c r="J35" s="44"/>
    </row>
    <row r="36" spans="1:193" x14ac:dyDescent="0.2">
      <c r="G36" s="42"/>
    </row>
    <row r="38" spans="1:193" ht="15.5" x14ac:dyDescent="0.2">
      <c r="K38" s="13"/>
      <c r="L38" s="13"/>
    </row>
    <row r="39" spans="1:193" ht="15.5" x14ac:dyDescent="0.2">
      <c r="K39" s="13"/>
      <c r="L39" s="13"/>
    </row>
    <row r="40" spans="1:193" ht="12.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9"/>
      <c r="GI40" s="9"/>
      <c r="GJ40" s="9"/>
      <c r="GK40" s="9"/>
    </row>
    <row r="41" spans="1:193" ht="15.5" x14ac:dyDescent="0.2">
      <c r="A41" s="13"/>
      <c r="B41" s="13"/>
      <c r="K41" s="13"/>
      <c r="L41" s="13"/>
    </row>
    <row r="42" spans="1:193" ht="12.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</row>
  </sheetData>
  <sheetProtection algorithmName="SHA-512" hashValue="S5oHnTaU+thODkmBQ/Zt63p2ZKfWuadEvQKaM8GO8WLU4+vfAsI+PYMhDSmLiIt7izsO9jSFqVaFI+GYxIeVnA==" saltValue="OUXIUkGNlwghcMfpD+E7FA==" spinCount="100000" sheet="1" objects="1" scenarios="1"/>
  <phoneticPr fontId="6" type="noConversion"/>
  <pageMargins left="0.5" right="0.6" top="1" bottom="1" header="0.5" footer="0.5"/>
  <pageSetup scale="69" orientation="landscape" r:id="rId1"/>
  <headerFooter alignWithMargins="0">
    <oddFooter>&amp;L&amp;F [&amp;A]&amp;RPage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6"/>
  <sheetViews>
    <sheetView zoomScale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19" sqref="H19"/>
    </sheetView>
  </sheetViews>
  <sheetFormatPr defaultRowHeight="13" x14ac:dyDescent="0.3"/>
  <cols>
    <col min="2" max="2" width="10.7265625" customWidth="1"/>
    <col min="3" max="5" width="16.7265625" customWidth="1"/>
  </cols>
  <sheetData>
    <row r="1" spans="1:5" ht="15.5" x14ac:dyDescent="0.35">
      <c r="A1" s="8" t="str">
        <f>'Inputs from Decisions'!B1&amp;" RSAM Calculation"</f>
        <v>2018 RSAM Calculation</v>
      </c>
      <c r="B1" s="46"/>
      <c r="C1" s="46"/>
      <c r="D1" s="46"/>
      <c r="E1" s="46"/>
    </row>
    <row r="2" spans="1:5" x14ac:dyDescent="0.3">
      <c r="A2" s="1" t="s">
        <v>52</v>
      </c>
      <c r="B2" s="46"/>
      <c r="C2" s="46"/>
      <c r="D2" s="46"/>
      <c r="E2" s="46"/>
    </row>
    <row r="3" spans="1:5" x14ac:dyDescent="0.3">
      <c r="A3" s="47"/>
      <c r="B3" s="47"/>
      <c r="C3" s="47"/>
      <c r="D3" s="47"/>
      <c r="E3" s="47"/>
    </row>
    <row r="4" spans="1:5" x14ac:dyDescent="0.3">
      <c r="A4" s="6" t="s">
        <v>16</v>
      </c>
      <c r="B4" s="6" t="s">
        <v>17</v>
      </c>
      <c r="C4" s="6" t="s">
        <v>18</v>
      </c>
      <c r="D4" s="6" t="s">
        <v>26</v>
      </c>
      <c r="E4" s="6" t="s">
        <v>53</v>
      </c>
    </row>
    <row r="5" spans="1:5" ht="26" x14ac:dyDescent="0.3">
      <c r="A5" s="87" t="s">
        <v>21</v>
      </c>
      <c r="B5" s="88" t="s">
        <v>22</v>
      </c>
      <c r="C5" s="86" t="s">
        <v>54</v>
      </c>
      <c r="D5" s="86" t="s">
        <v>55</v>
      </c>
      <c r="E5" s="86" t="s">
        <v>51</v>
      </c>
    </row>
    <row r="6" spans="1:5" x14ac:dyDescent="0.3">
      <c r="A6" s="84">
        <v>103</v>
      </c>
      <c r="B6" s="84" t="s">
        <v>19</v>
      </c>
      <c r="C6" s="89">
        <f>'Inputs from Decisions'!B7</f>
        <v>0.21</v>
      </c>
      <c r="D6" s="85">
        <f>'Inputs from Decisions'!B10</f>
        <v>8.1299999999999997E-2</v>
      </c>
      <c r="E6" s="85">
        <f t="shared" ref="E6:E12" si="0">D6+(1-D6)*C6</f>
        <v>0.274227</v>
      </c>
    </row>
    <row r="7" spans="1:5" x14ac:dyDescent="0.3">
      <c r="A7" s="84">
        <v>105</v>
      </c>
      <c r="B7" s="84" t="s">
        <v>20</v>
      </c>
      <c r="C7" s="89">
        <f t="shared" ref="C7:C12" si="1">$C$6</f>
        <v>0.21</v>
      </c>
      <c r="D7" s="85">
        <f>'Inputs from Decisions'!B11</f>
        <v>8.1930000000000003E-2</v>
      </c>
      <c r="E7" s="85">
        <f>D7+(1-D7)*C7</f>
        <v>0.27472469999999999</v>
      </c>
    </row>
    <row r="8" spans="1:5" x14ac:dyDescent="0.3">
      <c r="A8" s="84">
        <v>400</v>
      </c>
      <c r="B8" s="84" t="s">
        <v>10</v>
      </c>
      <c r="C8" s="89">
        <f t="shared" si="1"/>
        <v>0.21</v>
      </c>
      <c r="D8" s="85">
        <f>'Inputs from Decisions'!B12</f>
        <v>5.4219999999999997E-2</v>
      </c>
      <c r="E8" s="85">
        <f t="shared" si="0"/>
        <v>0.2528338</v>
      </c>
    </row>
    <row r="9" spans="1:5" x14ac:dyDescent="0.3">
      <c r="A9" s="84">
        <v>555</v>
      </c>
      <c r="B9" s="84" t="s">
        <v>11</v>
      </c>
      <c r="C9" s="89">
        <f t="shared" si="1"/>
        <v>0.21</v>
      </c>
      <c r="D9" s="85">
        <f>'Inputs from Decisions'!B13</f>
        <v>5.7529999999999998E-2</v>
      </c>
      <c r="E9" s="85">
        <f t="shared" si="0"/>
        <v>0.25544869999999997</v>
      </c>
    </row>
    <row r="10" spans="1:5" x14ac:dyDescent="0.3">
      <c r="A10" s="84">
        <v>712</v>
      </c>
      <c r="B10" s="84" t="s">
        <v>12</v>
      </c>
      <c r="C10" s="89">
        <f t="shared" si="1"/>
        <v>0.21</v>
      </c>
      <c r="D10" s="85">
        <f>'Inputs from Decisions'!B14</f>
        <v>5.2380000000000003E-2</v>
      </c>
      <c r="E10" s="85">
        <f t="shared" si="0"/>
        <v>0.2513802</v>
      </c>
    </row>
    <row r="11" spans="1:5" x14ac:dyDescent="0.3">
      <c r="A11" s="84">
        <v>777</v>
      </c>
      <c r="B11" s="84" t="s">
        <v>13</v>
      </c>
      <c r="C11" s="89">
        <f t="shared" si="1"/>
        <v>0.21</v>
      </c>
      <c r="D11" s="85">
        <f>'Inputs from Decisions'!B15</f>
        <v>5.3120000000000001E-2</v>
      </c>
      <c r="E11" s="85">
        <f t="shared" si="0"/>
        <v>0.25196479999999999</v>
      </c>
    </row>
    <row r="12" spans="1:5" x14ac:dyDescent="0.3">
      <c r="A12" s="84">
        <v>802</v>
      </c>
      <c r="B12" s="84" t="s">
        <v>14</v>
      </c>
      <c r="C12" s="89">
        <f t="shared" si="1"/>
        <v>0.21</v>
      </c>
      <c r="D12" s="85">
        <f>'Inputs from Decisions'!B16</f>
        <v>5.7259999999999998E-2</v>
      </c>
      <c r="E12" s="85">
        <f t="shared" si="0"/>
        <v>0.2552354</v>
      </c>
    </row>
    <row r="15" spans="1:5" x14ac:dyDescent="0.3">
      <c r="A15" t="s">
        <v>42</v>
      </c>
    </row>
    <row r="16" spans="1:5" x14ac:dyDescent="0.3">
      <c r="A16" s="61" t="str">
        <f>"     Column D:  EP 682 Sub "&amp;'Inputs from Decisions'!B1-2008&amp;", Annual Submission of State Tax Information - "&amp;'Inputs from Decisions'!B1</f>
        <v xml:space="preserve">     Column D:  EP 682 Sub 10, Annual Submission of State Tax Information - 2018</v>
      </c>
    </row>
  </sheetData>
  <sheetProtection algorithmName="SHA-512" hashValue="Np1S8SE++asxj2dCjqAFRp0VAXuLZWofGyx/S+KboDhVCxauAmd/1+rdhJ9F5QGrB44kkUe1wWTAn9HgEH9sSQ==" saltValue="2jXpHbwtL9aUmceis2E2Vw==" spinCount="100000" sheet="1" objects="1" scenarios="1"/>
  <sortState xmlns:xlrd2="http://schemas.microsoft.com/office/spreadsheetml/2017/richdata2" ref="A22:E28">
    <sortCondition ref="E22:E28"/>
  </sortState>
  <phoneticPr fontId="10" type="noConversion"/>
  <printOptions horizontalCentered="1"/>
  <pageMargins left="0.75" right="0.75" top="1" bottom="1" header="0.5" footer="0.5"/>
  <pageSetup orientation="landscape" r:id="rId1"/>
  <headerFooter alignWithMargins="0">
    <oddFooter>&amp;L&amp;F [&amp;A]&amp;RPage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0"/>
  <sheetViews>
    <sheetView zoomScale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I41" sqref="I41"/>
    </sheetView>
  </sheetViews>
  <sheetFormatPr defaultRowHeight="13" x14ac:dyDescent="0.3"/>
  <cols>
    <col min="2" max="2" width="10.7265625" customWidth="1"/>
    <col min="3" max="7" width="16.7265625" customWidth="1"/>
    <col min="8" max="8" width="12.7265625" customWidth="1"/>
    <col min="9" max="9" width="20.7265625" customWidth="1"/>
  </cols>
  <sheetData>
    <row r="1" spans="1:10" ht="15.5" x14ac:dyDescent="0.35">
      <c r="A1" s="8" t="str">
        <f>'Inputs from Decisions'!B1&amp;" RSAM Calculation"</f>
        <v>2018 RSAM Calculation</v>
      </c>
      <c r="B1" s="2"/>
      <c r="C1" s="2"/>
      <c r="D1" s="2"/>
      <c r="E1" s="2"/>
      <c r="F1" s="2"/>
      <c r="G1" s="2"/>
      <c r="H1" s="2"/>
      <c r="I1" s="2"/>
    </row>
    <row r="2" spans="1:10" x14ac:dyDescent="0.3">
      <c r="A2" s="1" t="s">
        <v>43</v>
      </c>
      <c r="B2" s="2"/>
      <c r="C2" s="2"/>
      <c r="D2" s="2"/>
      <c r="E2" s="2"/>
      <c r="F2" s="2"/>
      <c r="G2" s="2"/>
      <c r="H2" s="2"/>
      <c r="I2" s="2"/>
    </row>
    <row r="4" spans="1:10" x14ac:dyDescent="0.3">
      <c r="A4" s="6" t="s">
        <v>16</v>
      </c>
      <c r="B4" s="6" t="s">
        <v>17</v>
      </c>
      <c r="C4" s="6" t="s">
        <v>18</v>
      </c>
      <c r="D4" s="6" t="s">
        <v>26</v>
      </c>
      <c r="E4" s="6" t="s">
        <v>37</v>
      </c>
      <c r="F4" s="6" t="s">
        <v>29</v>
      </c>
      <c r="G4" s="6" t="s">
        <v>39</v>
      </c>
      <c r="H4" s="6" t="s">
        <v>47</v>
      </c>
      <c r="I4" s="6" t="s">
        <v>48</v>
      </c>
    </row>
    <row r="5" spans="1:10" ht="26" x14ac:dyDescent="0.3">
      <c r="A5" s="4" t="s">
        <v>21</v>
      </c>
      <c r="B5" s="5" t="s">
        <v>22</v>
      </c>
      <c r="C5" s="7" t="s">
        <v>34</v>
      </c>
      <c r="D5" s="7" t="s">
        <v>35</v>
      </c>
      <c r="E5" s="7" t="s">
        <v>36</v>
      </c>
      <c r="F5" s="7" t="s">
        <v>38</v>
      </c>
      <c r="G5" s="7" t="s">
        <v>28</v>
      </c>
      <c r="H5" s="7" t="s">
        <v>51</v>
      </c>
      <c r="I5" s="7" t="s">
        <v>49</v>
      </c>
      <c r="J5" s="47"/>
    </row>
    <row r="6" spans="1:10" x14ac:dyDescent="0.3">
      <c r="A6" s="48">
        <v>103</v>
      </c>
      <c r="B6" s="48" t="s">
        <v>19</v>
      </c>
      <c r="C6" s="53">
        <f>'2018 R-1 Schedule 250 Part A'!D31</f>
        <v>10668212.5</v>
      </c>
      <c r="D6" s="49">
        <f>'Inputs from Decisions'!B5</f>
        <v>0.1222</v>
      </c>
      <c r="E6" s="53">
        <f t="shared" ref="E6:E12" si="0">C6*D6</f>
        <v>1303655.5675000001</v>
      </c>
      <c r="F6" s="53">
        <f>'2018 R-1 Schedule 250 Part A'!D9</f>
        <v>820915</v>
      </c>
      <c r="G6" s="53">
        <f>E6-F6</f>
        <v>482740.56750000012</v>
      </c>
      <c r="H6" s="49">
        <f>'2018 Tax Rates'!E6</f>
        <v>0.274227</v>
      </c>
      <c r="I6" s="53">
        <f>G6/(1-H6)</f>
        <v>665139.88189144561</v>
      </c>
      <c r="J6" s="47"/>
    </row>
    <row r="7" spans="1:10" x14ac:dyDescent="0.3">
      <c r="A7" s="50">
        <v>105</v>
      </c>
      <c r="B7" s="50" t="s">
        <v>20</v>
      </c>
      <c r="C7" s="54">
        <f>'2018 R-1 Schedule 250 Part A'!G31</f>
        <v>3503521.5</v>
      </c>
      <c r="D7" s="52">
        <f t="shared" ref="D7:D12" si="1">$D$6</f>
        <v>0.1222</v>
      </c>
      <c r="E7" s="54">
        <f t="shared" si="0"/>
        <v>428130.3273</v>
      </c>
      <c r="F7" s="54">
        <f>'2018 R-1 Schedule 250 Part A'!G9</f>
        <v>472522</v>
      </c>
      <c r="G7" s="54">
        <f t="shared" ref="G7:G12" si="2">E7-F7</f>
        <v>-44391.672699999996</v>
      </c>
      <c r="H7" s="52">
        <f>'2018 Tax Rates'!E7</f>
        <v>0.27472469999999999</v>
      </c>
      <c r="I7" s="54">
        <f t="shared" ref="I7:I12" si="3">G7/(1-H7)</f>
        <v>-61206.651736244145</v>
      </c>
      <c r="J7" s="47"/>
    </row>
    <row r="8" spans="1:10" x14ac:dyDescent="0.3">
      <c r="A8" s="50">
        <v>400</v>
      </c>
      <c r="B8" s="50" t="s">
        <v>10</v>
      </c>
      <c r="C8" s="54">
        <f>'2018 R-1 Schedule 250 Part A'!E31</f>
        <v>4535568.5</v>
      </c>
      <c r="D8" s="52">
        <f t="shared" si="1"/>
        <v>0.1222</v>
      </c>
      <c r="E8" s="54">
        <f t="shared" si="0"/>
        <v>554246.47070000006</v>
      </c>
      <c r="F8" s="54">
        <f>'2018 R-1 Schedule 250 Part A'!E9</f>
        <v>364179</v>
      </c>
      <c r="G8" s="54">
        <f t="shared" si="2"/>
        <v>190067.47070000006</v>
      </c>
      <c r="H8" s="52">
        <f>'2018 Tax Rates'!E8</f>
        <v>0.2528338</v>
      </c>
      <c r="I8" s="54">
        <f t="shared" si="3"/>
        <v>254384.46051226629</v>
      </c>
      <c r="J8" s="47"/>
    </row>
    <row r="9" spans="1:10" x14ac:dyDescent="0.3">
      <c r="A9" s="50">
        <v>555</v>
      </c>
      <c r="B9" s="50" t="s">
        <v>11</v>
      </c>
      <c r="C9" s="54">
        <f>'2018 R-1 Schedule 250 Part A'!F31</f>
        <v>23850288</v>
      </c>
      <c r="D9" s="52">
        <f t="shared" si="1"/>
        <v>0.1222</v>
      </c>
      <c r="E9" s="54">
        <f t="shared" si="0"/>
        <v>2914505.1935999999</v>
      </c>
      <c r="F9" s="54">
        <f>'2018 R-1 Schedule 250 Part A'!F9</f>
        <v>2774609</v>
      </c>
      <c r="G9" s="54">
        <f t="shared" si="2"/>
        <v>139896.19359999988</v>
      </c>
      <c r="H9" s="52">
        <f>'2018 Tax Rates'!E9</f>
        <v>0.25544869999999997</v>
      </c>
      <c r="I9" s="54">
        <f t="shared" si="3"/>
        <v>187893.29036159077</v>
      </c>
      <c r="J9" s="47"/>
    </row>
    <row r="10" spans="1:10" x14ac:dyDescent="0.3">
      <c r="A10" s="50">
        <v>712</v>
      </c>
      <c r="B10" s="50" t="s">
        <v>12</v>
      </c>
      <c r="C10" s="54">
        <f>'2018 R-1 Schedule 250 Part A'!C31</f>
        <v>23714296.5</v>
      </c>
      <c r="D10" s="52">
        <f t="shared" si="1"/>
        <v>0.1222</v>
      </c>
      <c r="E10" s="54">
        <f t="shared" si="0"/>
        <v>2897887.0323000001</v>
      </c>
      <c r="F10" s="54">
        <f>'2018 R-1 Schedule 250 Part A'!C9</f>
        <v>3124995</v>
      </c>
      <c r="G10" s="54">
        <f t="shared" si="2"/>
        <v>-227107.96769999992</v>
      </c>
      <c r="H10" s="52">
        <f>'2018 Tax Rates'!E10</f>
        <v>0.2513802</v>
      </c>
      <c r="I10" s="54">
        <f t="shared" si="3"/>
        <v>-303368.9032804101</v>
      </c>
      <c r="J10" s="47"/>
    </row>
    <row r="11" spans="1:10" x14ac:dyDescent="0.3">
      <c r="A11" s="50">
        <v>777</v>
      </c>
      <c r="B11" s="50" t="s">
        <v>13</v>
      </c>
      <c r="C11" s="54">
        <f>'2018 R-1 Schedule 250 Part A'!B31</f>
        <v>49292436</v>
      </c>
      <c r="D11" s="52">
        <f t="shared" si="1"/>
        <v>0.1222</v>
      </c>
      <c r="E11" s="54">
        <f t="shared" si="0"/>
        <v>6023535.6792000001</v>
      </c>
      <c r="F11" s="54">
        <f>'2018 R-1 Schedule 250 Part A'!B9</f>
        <v>5859642</v>
      </c>
      <c r="G11" s="54">
        <f t="shared" si="2"/>
        <v>163893.67920000013</v>
      </c>
      <c r="H11" s="52">
        <f>'2018 Tax Rates'!E11</f>
        <v>0.25196479999999999</v>
      </c>
      <c r="I11" s="54">
        <f t="shared" si="3"/>
        <v>219098.88625562022</v>
      </c>
      <c r="J11" s="47"/>
    </row>
    <row r="12" spans="1:10" x14ac:dyDescent="0.3">
      <c r="A12" s="50">
        <v>802</v>
      </c>
      <c r="B12" s="50" t="s">
        <v>14</v>
      </c>
      <c r="C12" s="54">
        <f>'2018 R-1 Schedule 250 Part A'!H31</f>
        <v>40396641.5</v>
      </c>
      <c r="D12" s="52">
        <f t="shared" si="1"/>
        <v>0.1222</v>
      </c>
      <c r="E12" s="54">
        <f t="shared" si="0"/>
        <v>4936469.5913000004</v>
      </c>
      <c r="F12" s="54">
        <f>'2018 R-1 Schedule 250 Part A'!H9</f>
        <v>6383168</v>
      </c>
      <c r="G12" s="54">
        <f t="shared" si="2"/>
        <v>-1446698.4086999996</v>
      </c>
      <c r="H12" s="52">
        <f>'2018 Tax Rates'!E12</f>
        <v>0.2552354</v>
      </c>
      <c r="I12" s="54">
        <f t="shared" si="3"/>
        <v>-1942490.8336137345</v>
      </c>
      <c r="J12" s="47"/>
    </row>
    <row r="13" spans="1:10" x14ac:dyDescent="0.3">
      <c r="A13" s="47"/>
      <c r="B13" s="55" t="s">
        <v>15</v>
      </c>
      <c r="C13" s="54">
        <f>SUM(C6:C12)</f>
        <v>155960964.5</v>
      </c>
      <c r="D13" s="63"/>
      <c r="E13" s="54">
        <f>SUM(E6:E12)</f>
        <v>19058429.861900002</v>
      </c>
      <c r="F13" s="54">
        <f>SUM(F6:F12)</f>
        <v>19800030</v>
      </c>
      <c r="G13" s="54">
        <f>SUM(G6:G12)</f>
        <v>-741600.13809999928</v>
      </c>
      <c r="H13" s="51"/>
      <c r="I13" s="54">
        <f>SUM(I6:I12)</f>
        <v>-980549.86960946582</v>
      </c>
      <c r="J13" s="47"/>
    </row>
    <row r="14" spans="1:10" x14ac:dyDescent="0.3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x14ac:dyDescent="0.3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x14ac:dyDescent="0.3">
      <c r="A17" s="61" t="str">
        <f>"     Column C:  "&amp;'Inputs from Decisions'!B1&amp;" R-1 Schedule 250 Part A."</f>
        <v xml:space="preserve">     Column C:  2018 R-1 Schedule 250 Part A.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x14ac:dyDescent="0.3">
      <c r="A18" s="61" t="str">
        <f>"     Column D:  EP 558 Sub "&amp;'Inputs from Decisions'!B1-1996&amp;", Railroad Cost of Capital - "&amp;'Inputs from Decisions'!B1&amp;"."</f>
        <v xml:space="preserve">     Column D:  EP 558 Sub 22, Railroad Cost of Capital - 2018.</v>
      </c>
      <c r="E18" s="83"/>
    </row>
    <row r="19" spans="1:10" x14ac:dyDescent="0.3">
      <c r="A19" s="61" t="str">
        <f>"     Column F:  "&amp;'Inputs from Decisions'!B1&amp;" R-1 Schedule 250 Part A."</f>
        <v xml:space="preserve">     Column F:  2018 R-1 Schedule 250 Part A.</v>
      </c>
    </row>
    <row r="20" spans="1:10" x14ac:dyDescent="0.3">
      <c r="A20" s="61" t="str">
        <f>"     Column H:  '"&amp;'Inputs from Decisions'!B1&amp;" Tax Rates' tab."</f>
        <v xml:space="preserve">     Column H:  '2018 Tax Rates' tab.</v>
      </c>
    </row>
  </sheetData>
  <sheetProtection algorithmName="SHA-512" hashValue="qMTWO4FXY8aGNCMsDjCVoaUGplf2QeenzMv0ikIahTbAJ6BEzx7YAgvG8PSLDvZwpHzqkDakmu1qhfhV2hvWRQ==" saltValue="40jawUg919Bamzigai/w3A==" spinCount="100000" sheet="1" objects="1" scenarios="1"/>
  <phoneticPr fontId="10" type="noConversion"/>
  <printOptions horizontalCentered="1"/>
  <pageMargins left="0.75" right="0.75" top="1" bottom="1" header="0.5" footer="0.5"/>
  <pageSetup scale="90" orientation="landscape" r:id="rId1"/>
  <headerFooter alignWithMargins="0">
    <oddFooter>&amp;L&amp;F [&amp;A]&amp;RPage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"/>
  <sheetViews>
    <sheetView zoomScale="9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L34" sqref="L34"/>
    </sheetView>
  </sheetViews>
  <sheetFormatPr defaultRowHeight="13" x14ac:dyDescent="0.3"/>
  <cols>
    <col min="2" max="2" width="10.7265625" customWidth="1"/>
    <col min="3" max="4" width="16.7265625" customWidth="1"/>
    <col min="5" max="5" width="12.7265625" customWidth="1"/>
    <col min="6" max="6" width="18.7265625" customWidth="1"/>
    <col min="7" max="7" width="12.7265625" customWidth="1"/>
  </cols>
  <sheetData>
    <row r="1" spans="1:7" ht="15.5" x14ac:dyDescent="0.35">
      <c r="A1" s="8" t="str">
        <f>'Inputs from Decisions'!B1&amp;" RSAM Calculation"</f>
        <v>2018 RSAM Calculation</v>
      </c>
      <c r="B1" s="46"/>
      <c r="C1" s="46"/>
      <c r="D1" s="46"/>
      <c r="E1" s="46"/>
      <c r="F1" s="46"/>
      <c r="G1" s="46"/>
    </row>
    <row r="2" spans="1:7" x14ac:dyDescent="0.3">
      <c r="A2" s="47"/>
      <c r="B2" s="47"/>
      <c r="C2" s="47"/>
      <c r="D2" s="47"/>
      <c r="E2" s="47"/>
      <c r="F2" s="47"/>
      <c r="G2" s="47"/>
    </row>
    <row r="3" spans="1:7" x14ac:dyDescent="0.3">
      <c r="A3" s="6" t="s">
        <v>16</v>
      </c>
      <c r="B3" s="6" t="s">
        <v>17</v>
      </c>
      <c r="C3" s="6" t="s">
        <v>18</v>
      </c>
      <c r="D3" s="6" t="s">
        <v>26</v>
      </c>
      <c r="E3" s="6" t="s">
        <v>27</v>
      </c>
      <c r="F3" s="6" t="s">
        <v>29</v>
      </c>
      <c r="G3" s="6" t="s">
        <v>41</v>
      </c>
    </row>
    <row r="4" spans="1:7" x14ac:dyDescent="0.3">
      <c r="A4" s="47"/>
      <c r="B4" s="47"/>
      <c r="C4" s="3" t="s">
        <v>25</v>
      </c>
      <c r="D4" s="56"/>
      <c r="E4" s="47"/>
      <c r="F4" s="47"/>
      <c r="G4" s="47"/>
    </row>
    <row r="5" spans="1:7" ht="26" x14ac:dyDescent="0.3">
      <c r="A5" s="4" t="s">
        <v>21</v>
      </c>
      <c r="B5" s="5" t="s">
        <v>22</v>
      </c>
      <c r="C5" s="4" t="s">
        <v>23</v>
      </c>
      <c r="D5" s="4" t="s">
        <v>24</v>
      </c>
      <c r="E5" s="4" t="s">
        <v>46</v>
      </c>
      <c r="F5" s="7" t="s">
        <v>50</v>
      </c>
      <c r="G5" s="4" t="s">
        <v>40</v>
      </c>
    </row>
    <row r="6" spans="1:7" x14ac:dyDescent="0.3">
      <c r="A6" s="48">
        <v>103</v>
      </c>
      <c r="B6" s="48" t="s">
        <v>19</v>
      </c>
      <c r="C6" s="57">
        <f>VLOOKUP($A6,RSAM_2018_Class_I_Costs_and_Rev!$A$5:$J$11,9,FALSE)/1000</f>
        <v>1548741.26</v>
      </c>
      <c r="D6" s="57">
        <f>VLOOKUP($A6,RSAM_2018_Class_I_Costs_and_Rev!$A$5:$J$11,5,FALSE)/1000</f>
        <v>565476.73699999996</v>
      </c>
      <c r="E6" s="106">
        <f t="shared" ref="E6:E12" si="0">C6/D6</f>
        <v>2.7388240022330046</v>
      </c>
      <c r="F6" s="57">
        <f>VLOOKUP($A6,'2018 Shortfall (Surplus)'!$A$6:$I$12,9,FALSE)</f>
        <v>665139.88189144561</v>
      </c>
      <c r="G6" s="106">
        <f>(C6+F6)/D6</f>
        <v>3.9150702354913065</v>
      </c>
    </row>
    <row r="7" spans="1:7" x14ac:dyDescent="0.3">
      <c r="A7" s="50">
        <v>105</v>
      </c>
      <c r="B7" s="50" t="s">
        <v>20</v>
      </c>
      <c r="C7" s="54">
        <f>VLOOKUP($A7,RSAM_2018_Class_I_Costs_and_Rev!$A$5:$J$11,9,FALSE)/1000</f>
        <v>791497.65599999996</v>
      </c>
      <c r="D7" s="54">
        <f>VLOOKUP($A7,RSAM_2018_Class_I_Costs_and_Rev!$A$5:$J$11,5,FALSE)/1000</f>
        <v>324195.69799999997</v>
      </c>
      <c r="E7" s="107">
        <f t="shared" si="0"/>
        <v>2.4414193676314606</v>
      </c>
      <c r="F7" s="54">
        <f>VLOOKUP($A7,'2018 Shortfall (Surplus)'!$A$6:$I$12,9,FALSE)</f>
        <v>-61206.651736244145</v>
      </c>
      <c r="G7" s="107">
        <f t="shared" ref="G7:G12" si="1">(C7+F7)/D7</f>
        <v>2.2526239822705971</v>
      </c>
    </row>
    <row r="8" spans="1:7" x14ac:dyDescent="0.3">
      <c r="A8" s="50">
        <v>400</v>
      </c>
      <c r="B8" s="50" t="s">
        <v>10</v>
      </c>
      <c r="C8" s="54">
        <f>VLOOKUP($A8,RSAM_2018_Class_I_Costs_and_Rev!$A$5:$J$11,9,FALSE)/1000</f>
        <v>335347.86700000003</v>
      </c>
      <c r="D8" s="54">
        <f>VLOOKUP($A8,RSAM_2018_Class_I_Costs_and_Rev!$A$5:$J$11,5,FALSE)/1000</f>
        <v>135290.18799999999</v>
      </c>
      <c r="E8" s="107">
        <f t="shared" si="0"/>
        <v>2.4787301426471524</v>
      </c>
      <c r="F8" s="54">
        <f>VLOOKUP($A8,'2018 Shortfall (Surplus)'!$A$6:$I$12,9,FALSE)</f>
        <v>254384.46051226629</v>
      </c>
      <c r="G8" s="107">
        <f t="shared" si="1"/>
        <v>4.359017725012448</v>
      </c>
    </row>
    <row r="9" spans="1:7" x14ac:dyDescent="0.3">
      <c r="A9" s="50">
        <v>555</v>
      </c>
      <c r="B9" s="50" t="s">
        <v>11</v>
      </c>
      <c r="C9" s="54">
        <f>VLOOKUP($A9,RSAM_2018_Class_I_Costs_and_Rev!$A$5:$J$11,9,FALSE)/1000</f>
        <v>4581487.2520000003</v>
      </c>
      <c r="D9" s="54">
        <f>VLOOKUP($A9,RSAM_2018_Class_I_Costs_and_Rev!$A$5:$J$11,5,FALSE)/1000</f>
        <v>1845370.132</v>
      </c>
      <c r="E9" s="107">
        <f t="shared" si="0"/>
        <v>2.4826928606645513</v>
      </c>
      <c r="F9" s="54">
        <f>VLOOKUP($A9,'2018 Shortfall (Surplus)'!$A$6:$I$12,9,FALSE)</f>
        <v>187893.29036159077</v>
      </c>
      <c r="G9" s="107">
        <f t="shared" si="1"/>
        <v>2.5845116162103308</v>
      </c>
    </row>
    <row r="10" spans="1:7" x14ac:dyDescent="0.3">
      <c r="A10" s="50">
        <v>712</v>
      </c>
      <c r="B10" s="50" t="s">
        <v>12</v>
      </c>
      <c r="C10" s="54">
        <f>VLOOKUP($A10,RSAM_2018_Class_I_Costs_and_Rev!$A$5:$J$11,9,FALSE)/1000</f>
        <v>4910062.7740000002</v>
      </c>
      <c r="D10" s="54">
        <f>VLOOKUP($A10,RSAM_2018_Class_I_Costs_and_Rev!$A$5:$J$11,5,FALSE)/1000</f>
        <v>1891656.868</v>
      </c>
      <c r="E10" s="107">
        <f t="shared" si="0"/>
        <v>2.5956413433432473</v>
      </c>
      <c r="F10" s="54">
        <f>VLOOKUP($A10,'2018 Shortfall (Surplus)'!$A$6:$I$12,9,FALSE)</f>
        <v>-303368.9032804101</v>
      </c>
      <c r="G10" s="107">
        <f t="shared" si="1"/>
        <v>2.4352692862263803</v>
      </c>
    </row>
    <row r="11" spans="1:7" x14ac:dyDescent="0.3">
      <c r="A11" s="50">
        <v>777</v>
      </c>
      <c r="B11" s="50" t="s">
        <v>13</v>
      </c>
      <c r="C11" s="54">
        <f>VLOOKUP($A11,RSAM_2018_Class_I_Costs_and_Rev!$A$5:$J$11,9,FALSE)/1000</f>
        <v>5215622.8779999996</v>
      </c>
      <c r="D11" s="54">
        <f>VLOOKUP($A11,RSAM_2018_Class_I_Costs_and_Rev!$A$5:$J$11,5,FALSE)/1000</f>
        <v>2351495.676</v>
      </c>
      <c r="E11" s="107">
        <f t="shared" si="0"/>
        <v>2.2180023255973018</v>
      </c>
      <c r="F11" s="54">
        <f>VLOOKUP($A11,'2018 Shortfall (Surplus)'!$A$6:$I$12,9,FALSE)</f>
        <v>219098.88625562022</v>
      </c>
      <c r="G11" s="107">
        <f t="shared" si="1"/>
        <v>2.3111765927209045</v>
      </c>
    </row>
    <row r="12" spans="1:7" x14ac:dyDescent="0.3">
      <c r="A12" s="50">
        <v>802</v>
      </c>
      <c r="B12" s="50" t="s">
        <v>14</v>
      </c>
      <c r="C12" s="54">
        <f>VLOOKUP($A12,RSAM_2018_Class_I_Costs_and_Rev!$A$5:$J$11,9,FALSE)/1000</f>
        <v>10286304.442</v>
      </c>
      <c r="D12" s="54">
        <f>VLOOKUP($A12,RSAM_2018_Class_I_Costs_and_Rev!$A$5:$J$11,5,FALSE)/1000</f>
        <v>4261651.6279999996</v>
      </c>
      <c r="E12" s="107">
        <f t="shared" si="0"/>
        <v>2.4136896536583823</v>
      </c>
      <c r="F12" s="54">
        <f>VLOOKUP($A12,'2018 Shortfall (Surplus)'!$A$6:$I$12,9,FALSE)</f>
        <v>-1942490.8336137345</v>
      </c>
      <c r="G12" s="107">
        <f t="shared" si="1"/>
        <v>1.9578826090723964</v>
      </c>
    </row>
    <row r="14" spans="1:7" x14ac:dyDescent="0.3">
      <c r="F14" s="45"/>
    </row>
    <row r="15" spans="1:7" x14ac:dyDescent="0.3">
      <c r="A15" t="s">
        <v>42</v>
      </c>
    </row>
    <row r="16" spans="1:7" x14ac:dyDescent="0.3">
      <c r="A16" s="61" t="str">
        <f>"     Column C:  "&amp;'Inputs from Decisions'!B1&amp;" Carload Waybill Sample."</f>
        <v xml:space="preserve">     Column C:  2018 Carload Waybill Sample.</v>
      </c>
    </row>
    <row r="17" spans="1:8" x14ac:dyDescent="0.3">
      <c r="A17" s="61" t="str">
        <f>"     Column D:  "&amp;'Inputs from Decisions'!B1&amp;" Carload Waybill Sample."</f>
        <v xml:space="preserve">     Column D:  2018 Carload Waybill Sample.</v>
      </c>
    </row>
    <row r="18" spans="1:8" x14ac:dyDescent="0.3">
      <c r="A18" s="61" t="str">
        <f>"     Column F:  '"&amp;'Inputs from Decisions'!B1&amp;" Shortfall (Surplus)' tab."</f>
        <v xml:space="preserve">     Column F:  '2018 Shortfall (Surplus)' tab.</v>
      </c>
    </row>
    <row r="19" spans="1:8" x14ac:dyDescent="0.3">
      <c r="C19" s="103"/>
      <c r="D19" s="103"/>
    </row>
    <row r="20" spans="1:8" x14ac:dyDescent="0.3">
      <c r="A20" s="105"/>
      <c r="B20" s="105"/>
      <c r="C20" s="105"/>
      <c r="D20" s="105"/>
      <c r="E20" s="105"/>
      <c r="F20" s="105"/>
      <c r="G20" s="105"/>
      <c r="H20" s="105"/>
    </row>
    <row r="21" spans="1:8" x14ac:dyDescent="0.3">
      <c r="A21" s="105"/>
      <c r="B21" s="105"/>
      <c r="C21" s="105"/>
      <c r="D21" s="105"/>
      <c r="E21" s="105"/>
      <c r="F21" s="105"/>
      <c r="G21" s="105"/>
      <c r="H21" s="105"/>
    </row>
    <row r="22" spans="1:8" x14ac:dyDescent="0.3">
      <c r="A22" s="105"/>
      <c r="B22" s="105"/>
      <c r="C22" s="105"/>
      <c r="D22" s="105"/>
      <c r="E22" s="105"/>
      <c r="F22" s="105"/>
      <c r="G22" s="105"/>
      <c r="H22" s="105"/>
    </row>
    <row r="23" spans="1:8" x14ac:dyDescent="0.3">
      <c r="A23" s="105"/>
      <c r="B23" s="105"/>
      <c r="C23" s="105"/>
      <c r="D23" s="105"/>
      <c r="E23" s="105"/>
      <c r="F23" s="105"/>
      <c r="G23" s="105"/>
      <c r="H23" s="105"/>
    </row>
    <row r="24" spans="1:8" x14ac:dyDescent="0.3">
      <c r="A24" s="105"/>
      <c r="B24" s="105"/>
      <c r="C24" s="105"/>
      <c r="D24" s="105"/>
      <c r="E24" s="105"/>
      <c r="F24" s="105"/>
      <c r="G24" s="105"/>
      <c r="H24" s="105"/>
    </row>
    <row r="25" spans="1:8" x14ac:dyDescent="0.3">
      <c r="A25" s="105"/>
      <c r="B25" s="105"/>
      <c r="C25" s="105"/>
      <c r="D25" s="105"/>
      <c r="E25" s="105"/>
      <c r="F25" s="105"/>
      <c r="G25" s="105"/>
      <c r="H25" s="105"/>
    </row>
  </sheetData>
  <sheetProtection algorithmName="SHA-512" hashValue="HyRewUk1E1uiJowMNqNOYhNb02qJiQMal6mKAUJadb1WkDUfBFqSE4cKzXeoR6uODEKLvR2X3bohtF76KrAmlA==" saltValue="D4pQqKDHh12DUwUI2s9mWQ==" spinCount="100000" sheet="1" objects="1" scenarios="1"/>
  <phoneticPr fontId="10" type="noConversion"/>
  <printOptions horizontalCentered="1"/>
  <pageMargins left="0.75" right="0.75" top="1" bottom="1" header="0.5" footer="0.5"/>
  <pageSetup orientation="landscape" r:id="rId1"/>
  <headerFooter alignWithMargins="0">
    <oddFooter>&amp;L&amp;F [&amp;A]&amp;RPage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Inputs from Decisions</vt:lpstr>
      <vt:lpstr>RSAM_2018_Class_I_Costs_and_Rev</vt:lpstr>
      <vt:lpstr>2018 R-1 Schedule 250 Part A</vt:lpstr>
      <vt:lpstr>2018 Tax Rates</vt:lpstr>
      <vt:lpstr>2018 Shortfall (Surplus)</vt:lpstr>
      <vt:lpstr>RSAM 2018</vt:lpstr>
      <vt:lpstr>'2018 R-1 Schedule 250 Part A'!Print_Area</vt:lpstr>
      <vt:lpstr>RSAM_2005_Costs_and_Revenues_for_Class_I_RRs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Pelsey</dc:creator>
  <cp:lastModifiedBy>Smith-Bozek, Jennifer</cp:lastModifiedBy>
  <cp:lastPrinted>2012-12-03T18:26:26Z</cp:lastPrinted>
  <dcterms:created xsi:type="dcterms:W3CDTF">2010-04-05T15:06:46Z</dcterms:created>
  <dcterms:modified xsi:type="dcterms:W3CDTF">2020-01-30T14:46:37Z</dcterms:modified>
</cp:coreProperties>
</file>