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W:\Railroad Financial Conferences Reports to Commissioners\Q2 2021\"/>
    </mc:Choice>
  </mc:AlternateContent>
  <xr:revisionPtr revIDLastSave="0" documentId="13_ncr:1_{9EF24AEF-92F0-44AC-91CE-6A9239FD18CD}" xr6:coauthVersionLast="46" xr6:coauthVersionMax="46" xr10:uidLastSave="{00000000-0000-0000-0000-000000000000}"/>
  <workbookProtection workbookAlgorithmName="SHA-512" workbookHashValue="xjrL+Lm86M4Ti3olO6arN3GgjoyWzERHlH3n16rsp2H42QZ1Vs4Sq4lSkvZQ4csEu0iOeiusHC75sr7hdG0Ugg==" workbookSaltValue="TxOaztvnbe9V2c75wzAxfQ==" workbookSpinCount="100000" lockStructure="1"/>
  <bookViews>
    <workbookView xWindow="-110" yWindow="-110" windowWidth="19420" windowHeight="9800" tabRatio="428" activeTab="1"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<sst xmlns="http://schemas.openxmlformats.org/spreadsheetml/2006/main" count="96" uniqueCount="59">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</sst>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3">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zoomScale="70" zoomScaleNormal="70" workbookViewId="0">
      <pane xSplit="1" ySplit="6" topLeftCell="B30" activePane="bottomRight" state="frozen"/>
      <selection pane="topRight" activeCell="B1" sqref="B1"/>
      <selection pane="bottomLeft" activeCell="A7" sqref="A7"/>
      <selection pane="bottomRight" activeCell="M30" sqref="M30"/>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52</v>
      </c>
      <c r="B1" s="30" t="s">
        <v>46</v>
      </c>
      <c r="D1" s="30"/>
      <c r="E1" s="30"/>
      <c r="F1" s="31"/>
      <c r="G1" s="10"/>
    </row>
    <row r="2" spans="1:36" ht="30" customHeight="1" x14ac:dyDescent="0.2">
      <c r="A2" s="34" t="s">
        <v>48</v>
      </c>
      <c r="B2" s="30" t="s">
        <v>46</v>
      </c>
      <c r="D2" s="30"/>
      <c r="E2" s="30"/>
      <c r="F2" s="31"/>
      <c r="G2" s="10"/>
      <c r="I2" s="35"/>
      <c r="L2" s="36"/>
    </row>
    <row r="3" spans="1:36" ht="14.5" x14ac:dyDescent="0.2">
      <c r="A3" s="34">
        <v>2021</v>
      </c>
      <c r="C3" s="37"/>
      <c r="I3" s="37"/>
    </row>
    <row r="4" spans="1:36" ht="15" thickBot="1" x14ac:dyDescent="0.25">
      <c r="A4" s="32">
        <f>A3-1</f>
        <v>2020</v>
      </c>
    </row>
    <row r="5" spans="1:36" s="8" customFormat="1" ht="13.5" thickBot="1" x14ac:dyDescent="0.3">
      <c r="A5"/>
      <c r="B5" s="45" t="s">
        <v>18</v>
      </c>
      <c r="C5" s="46"/>
      <c r="D5" s="46"/>
      <c r="E5" s="46"/>
      <c r="F5" s="47"/>
      <c r="G5" s="39" t="s">
        <v>19</v>
      </c>
      <c r="H5" s="40"/>
      <c r="I5" s="40"/>
      <c r="J5" s="40"/>
      <c r="K5" s="41"/>
      <c r="L5" s="42" t="s">
        <v>33</v>
      </c>
      <c r="M5" s="43"/>
      <c r="N5" s="43"/>
      <c r="O5" s="43"/>
      <c r="P5" s="44"/>
      <c r="Q5" s="45" t="s">
        <v>20</v>
      </c>
      <c r="R5" s="46"/>
      <c r="S5" s="46"/>
      <c r="T5" s="46"/>
      <c r="U5" s="47"/>
      <c r="V5" s="39" t="s">
        <v>21</v>
      </c>
      <c r="W5" s="40"/>
      <c r="X5" s="40"/>
      <c r="Y5" s="40"/>
      <c r="Z5" s="41"/>
      <c r="AA5" s="42" t="s">
        <v>34</v>
      </c>
      <c r="AB5" s="43"/>
      <c r="AC5" s="43"/>
      <c r="AD5" s="43"/>
      <c r="AE5" s="44"/>
      <c r="AF5" s="42" t="s">
        <v>22</v>
      </c>
      <c r="AG5" s="43"/>
      <c r="AH5" s="43"/>
      <c r="AI5" s="43"/>
      <c r="AJ5" s="44"/>
    </row>
    <row r="6" spans="1:36" ht="116"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23" t="s">
        <v>48</v>
      </c>
      <c r="B31" s="24">
        <v>343146</v>
      </c>
      <c r="C31" s="25">
        <v>281062</v>
      </c>
      <c r="D31" s="25">
        <v>-282869</v>
      </c>
      <c r="E31" s="25">
        <v>173958</v>
      </c>
      <c r="F31" s="26">
        <v>382</v>
      </c>
      <c r="G31" s="24">
        <v>88619</v>
      </c>
      <c r="H31" s="25">
        <v>80202</v>
      </c>
      <c r="I31" s="25">
        <v>-98201</v>
      </c>
      <c r="J31" s="25">
        <v>77404</v>
      </c>
      <c r="K31" s="26">
        <v>237</v>
      </c>
      <c r="L31" s="24">
        <v>32285</v>
      </c>
      <c r="M31" s="25">
        <v>27838</v>
      </c>
      <c r="N31" s="25">
        <v>-26741</v>
      </c>
      <c r="O31" s="25">
        <v>14772</v>
      </c>
      <c r="P31" s="26">
        <v>1322</v>
      </c>
      <c r="Q31" s="24">
        <v>14456</v>
      </c>
      <c r="R31" s="25">
        <v>12425</v>
      </c>
      <c r="S31" s="25">
        <v>-14572</v>
      </c>
      <c r="T31" s="25">
        <v>12269</v>
      </c>
      <c r="U31" s="26">
        <v>4652</v>
      </c>
      <c r="V31" s="24">
        <v>86670</v>
      </c>
      <c r="W31" s="25">
        <v>85007</v>
      </c>
      <c r="X31" s="25">
        <v>-106885</v>
      </c>
      <c r="Y31" s="25">
        <v>69266</v>
      </c>
      <c r="Z31" s="26">
        <v>586</v>
      </c>
      <c r="AA31" s="24">
        <v>12625</v>
      </c>
      <c r="AB31" s="25">
        <v>11908.85522044388</v>
      </c>
      <c r="AC31" s="25">
        <v>-20768</v>
      </c>
      <c r="AD31" s="25">
        <v>6965.0864600000004</v>
      </c>
      <c r="AE31" s="26">
        <v>2676.9456500000001</v>
      </c>
      <c r="AF31" s="24">
        <v>246283</v>
      </c>
      <c r="AG31" s="25">
        <v>195214</v>
      </c>
      <c r="AH31" s="25">
        <v>-188052</v>
      </c>
      <c r="AI31" s="25">
        <v>206166</v>
      </c>
      <c r="AJ31" s="26">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9" t="s">
        <v>51</v>
      </c>
      <c r="B34" s="17">
        <v>559414.60100000002</v>
      </c>
      <c r="C34" s="15">
        <v>312436.95512678492</v>
      </c>
      <c r="D34" s="15">
        <v>97426.249820000026</v>
      </c>
      <c r="E34" s="15">
        <v>201581</v>
      </c>
      <c r="F34" s="19">
        <v>150</v>
      </c>
      <c r="G34" s="17">
        <v>185995</v>
      </c>
      <c r="H34" s="15">
        <v>98977</v>
      </c>
      <c r="I34" s="15">
        <v>49460</v>
      </c>
      <c r="J34" s="15">
        <v>99149</v>
      </c>
      <c r="K34" s="19">
        <v>143</v>
      </c>
      <c r="L34" s="17">
        <v>61451</v>
      </c>
      <c r="M34" s="15">
        <v>32194</v>
      </c>
      <c r="N34" s="15">
        <v>10443</v>
      </c>
      <c r="O34" s="15">
        <v>14860</v>
      </c>
      <c r="P34" s="19">
        <v>1124</v>
      </c>
      <c r="Q34" s="17">
        <v>29544</v>
      </c>
      <c r="R34" s="15">
        <v>16736</v>
      </c>
      <c r="S34" s="15">
        <v>8816</v>
      </c>
      <c r="T34" s="15">
        <v>14605</v>
      </c>
      <c r="U34" s="19">
        <v>4452</v>
      </c>
      <c r="V34" s="17">
        <v>178877</v>
      </c>
      <c r="W34" s="15">
        <v>101832</v>
      </c>
      <c r="X34" s="15">
        <v>38978</v>
      </c>
      <c r="Y34" s="15">
        <v>97032</v>
      </c>
      <c r="Z34" s="19">
        <v>213</v>
      </c>
      <c r="AA34" s="17">
        <v>32617</v>
      </c>
      <c r="AB34" s="15">
        <v>16261</v>
      </c>
      <c r="AC34" s="15">
        <v>8627</v>
      </c>
      <c r="AD34" s="15">
        <v>10874</v>
      </c>
      <c r="AE34" s="19">
        <v>3960</v>
      </c>
      <c r="AF34" s="17">
        <v>411234</v>
      </c>
      <c r="AG34" s="15">
        <v>223294</v>
      </c>
      <c r="AH34" s="15">
        <v>78572</v>
      </c>
      <c r="AI34" s="15">
        <v>259667</v>
      </c>
      <c r="AJ34" s="19">
        <v>17253</v>
      </c>
    </row>
    <row r="35" spans="1:36" x14ac:dyDescent="0.2">
      <c r="A35" s="38" t="s">
        <v>52</v>
      </c>
      <c r="B35" s="18">
        <v>706531.92153000005</v>
      </c>
      <c r="C35" s="16">
        <v>331195.29894413875</v>
      </c>
      <c r="D35" s="16">
        <v>147117.32053000003</v>
      </c>
      <c r="E35" s="16">
        <v>328461</v>
      </c>
      <c r="F35" s="20">
        <v>459</v>
      </c>
      <c r="G35" s="18">
        <v>189847</v>
      </c>
      <c r="H35" s="16">
        <v>97854</v>
      </c>
      <c r="I35" s="16">
        <v>3852</v>
      </c>
      <c r="J35" s="16">
        <v>160618</v>
      </c>
      <c r="K35" s="20">
        <v>323</v>
      </c>
      <c r="L35" s="18">
        <v>69506</v>
      </c>
      <c r="M35" s="16">
        <v>31419</v>
      </c>
      <c r="N35" s="16">
        <v>8055</v>
      </c>
      <c r="O35" s="16">
        <v>29122</v>
      </c>
      <c r="P35" s="20">
        <v>2125</v>
      </c>
      <c r="Q35" s="18">
        <v>31169</v>
      </c>
      <c r="R35" s="16">
        <v>15518</v>
      </c>
      <c r="S35" s="16">
        <v>1625</v>
      </c>
      <c r="T35" s="16">
        <v>24433</v>
      </c>
      <c r="U35" s="20">
        <v>7318</v>
      </c>
      <c r="V35" s="18">
        <v>192777</v>
      </c>
      <c r="W35" s="16">
        <v>101890</v>
      </c>
      <c r="X35" s="16">
        <v>13900</v>
      </c>
      <c r="Y35" s="16">
        <v>147747</v>
      </c>
      <c r="Z35" s="20">
        <v>1173</v>
      </c>
      <c r="AA35" s="18">
        <v>33995</v>
      </c>
      <c r="AB35" s="16">
        <v>15119</v>
      </c>
      <c r="AC35" s="16">
        <v>1378</v>
      </c>
      <c r="AD35" s="16">
        <v>19761</v>
      </c>
      <c r="AE35" s="20">
        <v>8142</v>
      </c>
      <c r="AF35" s="18">
        <v>497003</v>
      </c>
      <c r="AG35" s="16">
        <v>230759</v>
      </c>
      <c r="AH35" s="16">
        <v>85769</v>
      </c>
      <c r="AI35" s="16">
        <v>414518</v>
      </c>
      <c r="AJ35" s="20">
        <v>34296</v>
      </c>
    </row>
    <row r="36" spans="1:36" x14ac:dyDescent="0.2">
      <c r="A36" s="9" t="s">
        <v>53</v>
      </c>
      <c r="B36" s="17"/>
      <c r="C36" s="15"/>
      <c r="D36" s="15"/>
      <c r="E36" s="15"/>
      <c r="F36" s="19"/>
      <c r="G36" s="17"/>
      <c r="H36" s="15"/>
      <c r="I36" s="15"/>
      <c r="J36" s="15"/>
      <c r="K36" s="19"/>
      <c r="L36" s="17"/>
      <c r="M36" s="15"/>
      <c r="N36" s="15"/>
      <c r="O36" s="15"/>
      <c r="P36" s="19"/>
      <c r="Q36" s="17"/>
      <c r="R36" s="15"/>
      <c r="S36" s="15"/>
      <c r="T36" s="15"/>
      <c r="U36" s="19"/>
      <c r="V36" s="17"/>
      <c r="W36" s="15"/>
      <c r="X36" s="15"/>
      <c r="Y36" s="15"/>
      <c r="Z36" s="19"/>
      <c r="AA36" s="17"/>
      <c r="AB36" s="15"/>
      <c r="AC36" s="15"/>
      <c r="AD36" s="15"/>
      <c r="AE36" s="19"/>
      <c r="AF36" s="17"/>
      <c r="AG36" s="15"/>
      <c r="AH36" s="15"/>
      <c r="AI36" s="15"/>
      <c r="AJ36" s="19"/>
    </row>
    <row r="37" spans="1:36" x14ac:dyDescent="0.2">
      <c r="A37" s="9" t="s">
        <v>54</v>
      </c>
      <c r="B37" s="17"/>
      <c r="C37" s="15"/>
      <c r="D37" s="15"/>
      <c r="E37" s="15"/>
      <c r="F37" s="19"/>
      <c r="G37" s="17"/>
      <c r="H37" s="15"/>
      <c r="I37" s="15"/>
      <c r="J37" s="15"/>
      <c r="K37" s="19"/>
      <c r="L37" s="17"/>
      <c r="M37" s="15"/>
      <c r="N37" s="15"/>
      <c r="O37" s="15"/>
      <c r="P37" s="19"/>
      <c r="Q37" s="17"/>
      <c r="R37" s="15"/>
      <c r="S37" s="15"/>
      <c r="T37" s="15"/>
      <c r="U37" s="19"/>
      <c r="V37" s="17"/>
      <c r="W37" s="15"/>
      <c r="X37" s="15"/>
      <c r="Y37" s="15"/>
      <c r="Z37" s="19"/>
      <c r="AA37" s="17"/>
      <c r="AB37" s="15"/>
      <c r="AC37" s="15"/>
      <c r="AD37" s="15"/>
      <c r="AE37" s="19"/>
      <c r="AF37" s="17"/>
      <c r="AG37" s="15"/>
      <c r="AH37" s="15"/>
      <c r="AI37" s="15"/>
      <c r="AJ37" s="19"/>
    </row>
    <row r="38" spans="1:36" x14ac:dyDescent="0.2">
      <c r="A38" s="9" t="s">
        <v>55</v>
      </c>
      <c r="B38" s="17"/>
      <c r="C38" s="15"/>
      <c r="D38" s="15"/>
      <c r="E38" s="15"/>
      <c r="F38" s="19"/>
      <c r="G38" s="17"/>
      <c r="H38" s="15"/>
      <c r="I38" s="15"/>
      <c r="J38" s="15"/>
      <c r="K38" s="19"/>
      <c r="L38" s="17"/>
      <c r="M38" s="15"/>
      <c r="N38" s="15"/>
      <c r="O38" s="15"/>
      <c r="P38" s="19"/>
      <c r="Q38" s="17"/>
      <c r="R38" s="15"/>
      <c r="S38" s="15"/>
      <c r="T38" s="15"/>
      <c r="U38" s="19"/>
      <c r="V38" s="17"/>
      <c r="W38" s="15"/>
      <c r="X38" s="15"/>
      <c r="Y38" s="15"/>
      <c r="Z38" s="19"/>
      <c r="AA38" s="17"/>
      <c r="AB38" s="15"/>
      <c r="AC38" s="15"/>
      <c r="AD38" s="15"/>
      <c r="AE38" s="19"/>
      <c r="AF38" s="17"/>
      <c r="AG38" s="15"/>
      <c r="AH38" s="15"/>
      <c r="AI38" s="15"/>
      <c r="AJ38" s="19"/>
    </row>
    <row r="39" spans="1:36" x14ac:dyDescent="0.2">
      <c r="A39" s="9" t="s">
        <v>56</v>
      </c>
      <c r="B39" s="17"/>
      <c r="C39" s="15"/>
      <c r="D39" s="15"/>
      <c r="E39" s="15"/>
      <c r="F39" s="19"/>
      <c r="G39" s="17"/>
      <c r="H39" s="15"/>
      <c r="I39" s="15"/>
      <c r="J39" s="15"/>
      <c r="K39" s="19"/>
      <c r="L39" s="17"/>
      <c r="M39" s="15"/>
      <c r="N39" s="15"/>
      <c r="O39" s="15"/>
      <c r="P39" s="19"/>
      <c r="Q39" s="17"/>
      <c r="R39" s="15"/>
      <c r="S39" s="15"/>
      <c r="T39" s="15"/>
      <c r="U39" s="19"/>
      <c r="V39" s="17"/>
      <c r="W39" s="15"/>
      <c r="X39" s="15"/>
      <c r="Y39" s="15"/>
      <c r="Z39" s="19"/>
      <c r="AA39" s="17"/>
      <c r="AB39" s="15"/>
      <c r="AC39" s="15"/>
      <c r="AD39" s="15"/>
      <c r="AE39" s="19"/>
      <c r="AF39" s="17"/>
      <c r="AG39" s="15"/>
      <c r="AH39" s="15"/>
      <c r="AI39" s="15"/>
      <c r="AJ39" s="19"/>
    </row>
    <row r="40" spans="1:36" x14ac:dyDescent="0.2">
      <c r="A40" s="9" t="s">
        <v>57</v>
      </c>
      <c r="B40" s="17"/>
      <c r="C40" s="15"/>
      <c r="D40" s="15"/>
      <c r="E40" s="15"/>
      <c r="F40" s="19"/>
      <c r="G40" s="17"/>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MSP89ZwICF7dYG3KZIwN3DYawGKey2g5by+LFlV+DOXcyBiGn85UkFJ61AqFexQpwqGbAdpRfoBHAsiWoM50oQ==" saltValue="2pKKYb9wsvD566kCZBlpnA=="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tabSelected="1" zoomScale="55" zoomScaleNormal="55" workbookViewId="0">
      <selection activeCell="E9" sqref="E9"/>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0" t="s">
        <v>0</v>
      </c>
      <c r="B1" s="50"/>
      <c r="C1" s="50"/>
      <c r="D1" s="50"/>
      <c r="E1" s="50"/>
      <c r="F1" s="50"/>
      <c r="G1" s="50"/>
    </row>
    <row r="2" spans="1:7" ht="16" customHeight="1" x14ac:dyDescent="0.3">
      <c r="A2" s="50" t="s">
        <v>1</v>
      </c>
      <c r="B2" s="50"/>
      <c r="C2" s="50"/>
      <c r="D2" s="50"/>
      <c r="E2" s="50"/>
      <c r="F2" s="50"/>
      <c r="G2" s="50"/>
    </row>
    <row r="3" spans="1:7" ht="72" customHeight="1" x14ac:dyDescent="0.3">
      <c r="A3" s="2"/>
      <c r="B3" s="3" t="str">
        <f>INPUT!A1</f>
        <v>QUARTER ENDED JUNE 30 2021</v>
      </c>
      <c r="C3" s="27" t="s">
        <v>2</v>
      </c>
      <c r="D3" s="27" t="s">
        <v>3</v>
      </c>
      <c r="E3" s="4" t="s">
        <v>4</v>
      </c>
      <c r="F3" s="27" t="s">
        <v>5</v>
      </c>
      <c r="G3" s="4" t="s">
        <v>6</v>
      </c>
    </row>
    <row r="4" spans="1:7" ht="28" customHeight="1" x14ac:dyDescent="0.3">
      <c r="A4" s="48" t="s">
        <v>7</v>
      </c>
      <c r="B4" s="3">
        <f>INPUT!A3</f>
        <v>2021</v>
      </c>
      <c r="C4" s="28">
        <f>VLOOKUP(INPUT!$A$1,INPUT!$A$5:$AJ$51,2,FALSE)</f>
        <v>706531.92153000005</v>
      </c>
      <c r="D4" s="28">
        <f>VLOOKUP(INPUT!$A$1,INPUT!$A$5:$AJ$51,3,FALSE)</f>
        <v>331195.29894413875</v>
      </c>
      <c r="E4" s="22">
        <f>VLOOKUP(INPUT!$A$1,INPUT!$A$5:$AJ$51,4,FALSE)</f>
        <v>147117.32053000003</v>
      </c>
      <c r="F4" s="28">
        <f>VLOOKUP(INPUT!$A$1,INPUT!$A$5:$AJ$51,5,FALSE)</f>
        <v>328461</v>
      </c>
      <c r="G4" s="21">
        <f>VLOOKUP(INPUT!$A$1,INPUT!$A$5:$AJ$51,6,FALSE)</f>
        <v>459</v>
      </c>
    </row>
    <row r="5" spans="1:7" ht="28" customHeight="1" x14ac:dyDescent="0.3">
      <c r="A5" s="49"/>
      <c r="B5" s="3">
        <f>INPUT!A4</f>
        <v>2020</v>
      </c>
      <c r="C5" s="28">
        <f>VLOOKUP(INPUT!$A$2,INPUT!$A$5:$AJ$51,2,FALSE)</f>
        <v>343146</v>
      </c>
      <c r="D5" s="28">
        <f>VLOOKUP(INPUT!$A$2,INPUT!$A$5:$AJ$51,3,FALSE)</f>
        <v>281062</v>
      </c>
      <c r="E5" s="22">
        <f>VLOOKUP(INPUT!$A$2,INPUT!$A$5:$AJ$51,4,FALSE)</f>
        <v>-282869</v>
      </c>
      <c r="F5" s="28">
        <f>VLOOKUP(INPUT!$A$2,INPUT!$A$5:$AJ$51,5,FALSE)</f>
        <v>173958</v>
      </c>
      <c r="G5" s="21">
        <f>VLOOKUP(INPUT!$A$2,INPUT!$A$5:$AJ$51,6,FALSE)</f>
        <v>382</v>
      </c>
    </row>
    <row r="6" spans="1:7" ht="28" customHeight="1" x14ac:dyDescent="0.3">
      <c r="A6" s="51" t="s">
        <v>19</v>
      </c>
      <c r="B6" s="3">
        <f>$B$4</f>
        <v>2021</v>
      </c>
      <c r="C6" s="33">
        <f>VLOOKUP(INPUT!$A$1,INPUT!$A$5:$AJ$51,7,FALSE)</f>
        <v>189847</v>
      </c>
      <c r="D6" s="28">
        <f>VLOOKUP(INPUT!$A$1,INPUT!$A$5:$AJ$51,8,FALSE)</f>
        <v>97854</v>
      </c>
      <c r="E6" s="22">
        <f>VLOOKUP(INPUT!$A$1,INPUT!$A$5:$AJ$51,9,FALSE)</f>
        <v>3852</v>
      </c>
      <c r="F6" s="28">
        <f>VLOOKUP(INPUT!$A$1,INPUT!$A$5:$AJ$51,10,FALSE)</f>
        <v>160618</v>
      </c>
      <c r="G6" s="21">
        <f>VLOOKUP(INPUT!$A$1,INPUT!$A$5:$AJ$51,11,FALSE)</f>
        <v>323</v>
      </c>
    </row>
    <row r="7" spans="1:7" ht="28" customHeight="1" x14ac:dyDescent="0.3">
      <c r="A7" s="52"/>
      <c r="B7" s="3">
        <f>$B$5</f>
        <v>2020</v>
      </c>
      <c r="C7" s="33">
        <f>VLOOKUP(INPUT!$A$2,INPUT!$A$5:$AJ$51,7,FALSE)</f>
        <v>88619</v>
      </c>
      <c r="D7" s="28">
        <f>VLOOKUP(INPUT!$A$2,INPUT!$A$5:$AJ$51,8,FALSE)</f>
        <v>80202</v>
      </c>
      <c r="E7" s="22">
        <f>VLOOKUP(INPUT!$A$2,INPUT!$A$5:$AJ$51,9,FALSE)</f>
        <v>-98201</v>
      </c>
      <c r="F7" s="28">
        <f>VLOOKUP(INPUT!$A$2,INPUT!$A$5:$AJ$51,10,FALSE)</f>
        <v>77404</v>
      </c>
      <c r="G7" s="21">
        <f>VLOOKUP(INPUT!$A$2,INPUT!$A$5:$AJ$51,11,FALSE)</f>
        <v>237</v>
      </c>
    </row>
    <row r="8" spans="1:7" ht="28" customHeight="1" x14ac:dyDescent="0.3">
      <c r="A8" s="48" t="s">
        <v>8</v>
      </c>
      <c r="B8" s="3">
        <f>$B$4</f>
        <v>2021</v>
      </c>
      <c r="C8" s="28">
        <f>VLOOKUP(INPUT!$A$1,INPUT!$A$5:$AJ$51,12,FALSE)</f>
        <v>69506</v>
      </c>
      <c r="D8" s="28">
        <f>VLOOKUP(INPUT!$A$1,INPUT!$A$5:$AJ$51,13,FALSE)</f>
        <v>31419</v>
      </c>
      <c r="E8" s="22">
        <f>VLOOKUP(INPUT!$A$1,INPUT!$A$5:$AJ$51,14,FALSE)</f>
        <v>8055</v>
      </c>
      <c r="F8" s="28">
        <f>VLOOKUP(INPUT!$A$1,INPUT!$A$5:$AJ$51,15,FALSE)</f>
        <v>29122</v>
      </c>
      <c r="G8" s="21">
        <f>VLOOKUP(INPUT!$A$1,INPUT!$A$5:$AJ$51,16,FALSE)</f>
        <v>2125</v>
      </c>
    </row>
    <row r="9" spans="1:7" ht="28" customHeight="1" x14ac:dyDescent="0.3">
      <c r="A9" s="49"/>
      <c r="B9" s="3">
        <f>$B$5</f>
        <v>2020</v>
      </c>
      <c r="C9" s="28">
        <f>VLOOKUP(INPUT!$A$2,INPUT!$A$5:$AJ$51,12,FALSE)</f>
        <v>32285</v>
      </c>
      <c r="D9" s="28">
        <f>VLOOKUP(INPUT!$A$2,INPUT!$A$5:$AJ$51,13,FALSE)</f>
        <v>27838</v>
      </c>
      <c r="E9" s="22">
        <f>VLOOKUP(INPUT!$A$2,INPUT!$A$5:$AJ$51,14,FALSE)</f>
        <v>-26741</v>
      </c>
      <c r="F9" s="28">
        <f>VLOOKUP(INPUT!$A$2,INPUT!$A$5:$AJ$51,15,FALSE)</f>
        <v>14772</v>
      </c>
      <c r="G9" s="21">
        <f>VLOOKUP(INPUT!$A$2,INPUT!$A$5:$AJ$51,16,FALSE)</f>
        <v>1322</v>
      </c>
    </row>
    <row r="10" spans="1:7" ht="28" customHeight="1" x14ac:dyDescent="0.3">
      <c r="A10" s="48" t="s">
        <v>9</v>
      </c>
      <c r="B10" s="3">
        <f>$B$4</f>
        <v>2021</v>
      </c>
      <c r="C10" s="28">
        <f>VLOOKUP(INPUT!$A$1,INPUT!$A$5:$AJ$51,17,FALSE)</f>
        <v>31169</v>
      </c>
      <c r="D10" s="28">
        <f>VLOOKUP(INPUT!$A$1,INPUT!$A$5:$AJ$51,18,FALSE)</f>
        <v>15518</v>
      </c>
      <c r="E10" s="22">
        <f>VLOOKUP(INPUT!$A$1,INPUT!$A$5:$AJ$51,19,FALSE)</f>
        <v>1625</v>
      </c>
      <c r="F10" s="28">
        <f>VLOOKUP(INPUT!$A$1,INPUT!$A$5:$AJ$51,20,FALSE)</f>
        <v>24433</v>
      </c>
      <c r="G10" s="21">
        <f>VLOOKUP(INPUT!$A$1,INPUT!$A$5:$AJ$51,21,FALSE)</f>
        <v>7318</v>
      </c>
    </row>
    <row r="11" spans="1:7" ht="28" customHeight="1" x14ac:dyDescent="0.3">
      <c r="A11" s="49"/>
      <c r="B11" s="3">
        <f>$B$5</f>
        <v>2020</v>
      </c>
      <c r="C11" s="28">
        <f>VLOOKUP(INPUT!$A$2,INPUT!$A$5:$AJ$51,17,FALSE)</f>
        <v>14456</v>
      </c>
      <c r="D11" s="28">
        <f>VLOOKUP(INPUT!$A$2,INPUT!$A$5:$AJ$51,18,FALSE)</f>
        <v>12425</v>
      </c>
      <c r="E11" s="22">
        <f>VLOOKUP(INPUT!$A$2,INPUT!$A$5:$AJ$51,19,FALSE)</f>
        <v>-14572</v>
      </c>
      <c r="F11" s="28">
        <f>VLOOKUP(INPUT!$A$2,INPUT!$A$5:$AJ$51,20,FALSE)</f>
        <v>12269</v>
      </c>
      <c r="G11" s="21">
        <f>VLOOKUP(INPUT!$A$2,INPUT!$A$5:$AJ$51,21,FALSE)</f>
        <v>4652</v>
      </c>
    </row>
    <row r="12" spans="1:7" ht="28" customHeight="1" x14ac:dyDescent="0.3">
      <c r="A12" s="48" t="s">
        <v>10</v>
      </c>
      <c r="B12" s="3">
        <f>$B$4</f>
        <v>2021</v>
      </c>
      <c r="C12" s="28">
        <f>VLOOKUP(INPUT!$A$1,INPUT!$A$5:$AJ$51,22,FALSE)</f>
        <v>192777</v>
      </c>
      <c r="D12" s="28">
        <f>VLOOKUP(INPUT!$A$1,INPUT!$A$5:$AJ$51,23,FALSE)</f>
        <v>101890</v>
      </c>
      <c r="E12" s="22">
        <f>VLOOKUP(INPUT!$A$1,INPUT!$A$5:$AJ$51,24,FALSE)</f>
        <v>13900</v>
      </c>
      <c r="F12" s="28">
        <f>VLOOKUP(INPUT!$A$1,INPUT!$A$5:$AJ$51,25,FALSE)</f>
        <v>147747</v>
      </c>
      <c r="G12" s="21">
        <f>VLOOKUP(INPUT!$A$1,INPUT!$A$5:$AJ$51,26,FALSE)</f>
        <v>1173</v>
      </c>
    </row>
    <row r="13" spans="1:7" ht="28" customHeight="1" x14ac:dyDescent="0.3">
      <c r="A13" s="49"/>
      <c r="B13" s="3">
        <f>$B$5</f>
        <v>2020</v>
      </c>
      <c r="C13" s="28">
        <f>VLOOKUP(INPUT!$A$2,INPUT!$A$5:$AJ$51,22,FALSE)</f>
        <v>86670</v>
      </c>
      <c r="D13" s="28">
        <f>VLOOKUP(INPUT!$A$2,INPUT!$A$5:$AJ$51,23,FALSE)</f>
        <v>85007</v>
      </c>
      <c r="E13" s="22">
        <f>VLOOKUP(INPUT!$A$2,INPUT!$A$5:$AJ$51,24,FALSE)</f>
        <v>-106885</v>
      </c>
      <c r="F13" s="28">
        <f>VLOOKUP(INPUT!$A$2,INPUT!$A$5:$AJ$51,25,FALSE)</f>
        <v>69266</v>
      </c>
      <c r="G13" s="21">
        <f>VLOOKUP(INPUT!$A$2,INPUT!$A$5:$AJ$51,26,FALSE)</f>
        <v>586</v>
      </c>
    </row>
    <row r="14" spans="1:7" ht="28" customHeight="1" x14ac:dyDescent="0.3">
      <c r="A14" s="48" t="s">
        <v>11</v>
      </c>
      <c r="B14" s="3">
        <f>$B$4</f>
        <v>2021</v>
      </c>
      <c r="C14" s="28">
        <f>VLOOKUP(INPUT!$A$1,INPUT!$A$5:$AJ$51,27,FALSE)</f>
        <v>33995</v>
      </c>
      <c r="D14" s="28">
        <f>VLOOKUP(INPUT!$A$1,INPUT!$A$5:$AJ$51,28,FALSE)</f>
        <v>15119</v>
      </c>
      <c r="E14" s="22">
        <f>VLOOKUP(INPUT!$A$1,INPUT!$A$5:$AJ$51,29,FALSE)</f>
        <v>1378</v>
      </c>
      <c r="F14" s="28">
        <f>VLOOKUP(INPUT!$A$1,INPUT!$A$5:$AJ$51,30,FALSE)</f>
        <v>19761</v>
      </c>
      <c r="G14" s="21">
        <f>VLOOKUP(INPUT!$A$1,INPUT!$A$5:$AJ$51,31,FALSE)</f>
        <v>8142</v>
      </c>
    </row>
    <row r="15" spans="1:7" ht="28" customHeight="1" x14ac:dyDescent="0.3">
      <c r="A15" s="49"/>
      <c r="B15" s="3">
        <f>$B$5</f>
        <v>2020</v>
      </c>
      <c r="C15" s="28">
        <f>VLOOKUP(INPUT!$A$2,INPUT!$A$5:$AJ$51,27,FALSE)</f>
        <v>12625</v>
      </c>
      <c r="D15" s="28">
        <f>VLOOKUP(INPUT!$A$2,INPUT!$A$5:$AJ$51,28,FALSE)</f>
        <v>11908.85522044388</v>
      </c>
      <c r="E15" s="22">
        <f>VLOOKUP(INPUT!$A$2,INPUT!$A$5:$AJ$51,29,FALSE)</f>
        <v>-20768</v>
      </c>
      <c r="F15" s="28">
        <f>VLOOKUP(INPUT!$A$2,INPUT!$A$5:$AJ$51,30,FALSE)</f>
        <v>6965.0864600000004</v>
      </c>
      <c r="G15" s="21">
        <f>VLOOKUP(INPUT!$A$2,INPUT!$A$5:$AJ$51,31,FALSE)</f>
        <v>2676.9456500000001</v>
      </c>
    </row>
    <row r="16" spans="1:7" ht="28" customHeight="1" x14ac:dyDescent="0.3">
      <c r="A16" s="48" t="s">
        <v>12</v>
      </c>
      <c r="B16" s="3">
        <f>$B$4</f>
        <v>2021</v>
      </c>
      <c r="C16" s="28">
        <f>VLOOKUP(INPUT!$A$1,INPUT!$A$5:$AJ$51,32,FALSE)</f>
        <v>497003</v>
      </c>
      <c r="D16" s="28">
        <f>VLOOKUP(INPUT!$A$1,INPUT!$A$5:$AJ$51,33,FALSE)</f>
        <v>230759</v>
      </c>
      <c r="E16" s="22">
        <f>VLOOKUP(INPUT!$A$1,INPUT!$A$5:$AJ$51,34,FALSE)</f>
        <v>85769</v>
      </c>
      <c r="F16" s="28">
        <f>VLOOKUP(INPUT!$A$1,INPUT!$A$5:$AJ$51,35,FALSE)</f>
        <v>414518</v>
      </c>
      <c r="G16" s="21">
        <f>VLOOKUP(INPUT!$A$1,INPUT!$A$5:$AJ$51,36,FALSE)</f>
        <v>34296</v>
      </c>
    </row>
    <row r="17" spans="1:7" ht="28" customHeight="1" x14ac:dyDescent="0.3">
      <c r="A17" s="49"/>
      <c r="B17" s="3">
        <f>$B$5</f>
        <v>2020</v>
      </c>
      <c r="C17" s="21">
        <f>VLOOKUP(INPUT!$A$2,INPUT!$A$5:$AJ$51,32,FALSE)</f>
        <v>246283</v>
      </c>
      <c r="D17" s="21">
        <f>VLOOKUP(INPUT!$A$2,INPUT!$A$5:$AJ$51,33,FALSE)</f>
        <v>195214</v>
      </c>
      <c r="E17" s="21">
        <f>VLOOKUP(INPUT!$A$2,INPUT!$A$5:$AJ$51,34,FALSE)</f>
        <v>-188052</v>
      </c>
      <c r="F17" s="21">
        <f>VLOOKUP(INPUT!$A$2,INPUT!$A$5:$AJ$51,35,FALSE)</f>
        <v>206166</v>
      </c>
      <c r="G17" s="21">
        <f>VLOOKUP(INPUT!$A$2,INPUT!$A$5:$AJ$51,36,FALSE)</f>
        <v>19539</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R/VPHgaUrpmS70ywFOZWkckI3ydMJ90qc9pegXbdcVPZT8hq46E4XDef52afNTYpTrXq4uMvx22ulJtn/Hd7KQ==" saltValue="eMzTHlP3D30dLpzX0cN5Tg=="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2021-08-02T19:32:30Z</dcterms:modified>
</cp:coreProperties>
</file>